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25" windowWidth="15315" windowHeight="4470" tabRatio="866" firstSheet="2" activeTab="13"/>
  </bookViews>
  <sheets>
    <sheet name="Paper" sheetId="1" r:id="rId1"/>
    <sheet name="Static" sheetId="2" r:id="rId2"/>
    <sheet name="Cost" sheetId="3" r:id="rId3"/>
    <sheet name="Fuel Economy " sheetId="4" r:id="rId4"/>
    <sheet name="Oral" sheetId="5" r:id="rId5"/>
    <sheet name="Noise" sheetId="6" r:id="rId6"/>
    <sheet name="Acceleration" sheetId="7" r:id="rId7"/>
    <sheet name="Shock Input_Rider Comfort" sheetId="8" r:id="rId8"/>
    <sheet name="Emissions" sheetId="9" r:id="rId9"/>
    <sheet name="Cold Start" sheetId="10" r:id="rId10"/>
    <sheet name="Subjective Handling" sheetId="11" r:id="rId11"/>
    <sheet name="Objective Handling" sheetId="12" r:id="rId12"/>
    <sheet name="Penalties" sheetId="13" r:id="rId13"/>
    <sheet name="Totals and Awards" sheetId="14" r:id="rId14"/>
  </sheets>
  <definedNames>
    <definedName name="_xlnm.Print_Area" localSheetId="2">'Cost'!$A$1:$D$33</definedName>
    <definedName name="_xlnm.Print_Area" localSheetId="8">'Emissions'!$A$1:$J$19</definedName>
    <definedName name="_xlnm.Print_Area" localSheetId="12">'Penalties'!$A$1:$I$30</definedName>
    <definedName name="_xlnm.Print_Area" localSheetId="13">'Totals and Awards'!$A$1:$N$52</definedName>
  </definedNames>
  <calcPr fullCalcOnLoad="1"/>
</workbook>
</file>

<file path=xl/sharedStrings.xml><?xml version="1.0" encoding="utf-8"?>
<sst xmlns="http://schemas.openxmlformats.org/spreadsheetml/2006/main" count="519" uniqueCount="196">
  <si>
    <t xml:space="preserve">Gmax = </t>
  </si>
  <si>
    <t>Gmin =</t>
  </si>
  <si>
    <t>Penalties</t>
  </si>
  <si>
    <t>Emissions</t>
  </si>
  <si>
    <t>Handling</t>
  </si>
  <si>
    <t>Oral</t>
  </si>
  <si>
    <t>Static</t>
  </si>
  <si>
    <t>Paper</t>
  </si>
  <si>
    <t>Late Paper</t>
  </si>
  <si>
    <t>Late Snowmobile</t>
  </si>
  <si>
    <t>Safety Violation</t>
  </si>
  <si>
    <t>POINTS</t>
  </si>
  <si>
    <t>Fuel Economy (MPG)</t>
  </si>
  <si>
    <t>gallons</t>
  </si>
  <si>
    <t>miles</t>
  </si>
  <si>
    <t>Distance=</t>
  </si>
  <si>
    <t>Maintence</t>
  </si>
  <si>
    <t>SCORE</t>
  </si>
  <si>
    <t>dBAmin=</t>
  </si>
  <si>
    <t>Tmin=</t>
  </si>
  <si>
    <t>sec</t>
  </si>
  <si>
    <t>Result (PASS/FAIL)</t>
  </si>
  <si>
    <t>Performance</t>
  </si>
  <si>
    <t>Best</t>
  </si>
  <si>
    <t>Points</t>
  </si>
  <si>
    <t>Design</t>
  </si>
  <si>
    <t>Most</t>
  </si>
  <si>
    <t>Practical</t>
  </si>
  <si>
    <t>Value</t>
  </si>
  <si>
    <t>TOTAL</t>
  </si>
  <si>
    <t>RANK</t>
  </si>
  <si>
    <t>FINAL</t>
  </si>
  <si>
    <t>Best Performance Winner</t>
  </si>
  <si>
    <t>Best Emissions Winner</t>
  </si>
  <si>
    <t>Best Design Winner</t>
  </si>
  <si>
    <t>Best Fuel Economy Winner</t>
  </si>
  <si>
    <t>Quietest Snowmobile Winner</t>
  </si>
  <si>
    <t>Most Practical Winner</t>
  </si>
  <si>
    <t>Best Value Winner</t>
  </si>
  <si>
    <t>Third Place Winner Overall</t>
  </si>
  <si>
    <t>Ordinal</t>
  </si>
  <si>
    <t>Most Sportsmanlike Winner</t>
  </si>
  <si>
    <t>Cost</t>
  </si>
  <si>
    <t>Total Cost</t>
  </si>
  <si>
    <t>(Max gallons used of finishing teams)</t>
  </si>
  <si>
    <t>(Min gallons used of finishing teams)</t>
  </si>
  <si>
    <t>(Course distance)</t>
  </si>
  <si>
    <t>% Improve</t>
  </si>
  <si>
    <t>Run1 Time (s)</t>
  </si>
  <si>
    <t>Run2 Time (s)</t>
  </si>
  <si>
    <t>Gallons Consumed</t>
  </si>
  <si>
    <t>Run1 dBA</t>
  </si>
  <si>
    <t>Run2 dBA</t>
  </si>
  <si>
    <t>Avg dBA</t>
  </si>
  <si>
    <t>Run1 Lap Time (s)</t>
  </si>
  <si>
    <t>Run2 Lap Time (s)</t>
  </si>
  <si>
    <t>Minimum Lap Time (s)</t>
  </si>
  <si>
    <t>Tmax =</t>
  </si>
  <si>
    <t>Tmin =</t>
  </si>
  <si>
    <t>Noise</t>
  </si>
  <si>
    <t>Acceleration</t>
  </si>
  <si>
    <t>Second Place Winner Overall</t>
  </si>
  <si>
    <t>First Place Winner Overall</t>
  </si>
  <si>
    <t>TITCmax=</t>
  </si>
  <si>
    <t>TITCmin=</t>
  </si>
  <si>
    <t>FINAL COMPOSITE EMISSIONS (g/kW-hr)</t>
  </si>
  <si>
    <t>CO</t>
  </si>
  <si>
    <t>UHC</t>
  </si>
  <si>
    <t>NOx</t>
  </si>
  <si>
    <t>UHC+NOx</t>
  </si>
  <si>
    <t>PERCENT REDUCTION IN POLLUTANT</t>
  </si>
  <si>
    <t>COmin=</t>
  </si>
  <si>
    <t>UHC+NOXmin=</t>
  </si>
  <si>
    <t>Best Time (s)</t>
  </si>
  <si>
    <t>DNF</t>
  </si>
  <si>
    <t>Fuel Type</t>
  </si>
  <si>
    <t>Late Oral</t>
  </si>
  <si>
    <t>Best Acceleration</t>
  </si>
  <si>
    <t>Best Handling</t>
  </si>
  <si>
    <t>Fourth Place Winner Overall</t>
  </si>
  <si>
    <t>Fifth Place Winner Overall</t>
  </si>
  <si>
    <t>Fuel</t>
  </si>
  <si>
    <t>Economy</t>
  </si>
  <si>
    <t>Cold</t>
  </si>
  <si>
    <t>Start</t>
  </si>
  <si>
    <t>E10</t>
  </si>
  <si>
    <t>E85</t>
  </si>
  <si>
    <t>Fail</t>
  </si>
  <si>
    <t>Pass</t>
  </si>
  <si>
    <t>SAE CSC2005 Engineering Design Paper Results</t>
  </si>
  <si>
    <t xml:space="preserve"> </t>
  </si>
  <si>
    <t>Bill
 Schumann</t>
  </si>
  <si>
    <t>Jeff
Gillen</t>
  </si>
  <si>
    <t>Bill 
Myers</t>
  </si>
  <si>
    <t>David
Montgomery</t>
  </si>
  <si>
    <t>Roger
Cass</t>
  </si>
  <si>
    <t>John
Katnick</t>
  </si>
  <si>
    <t>Jim
DeClerk</t>
  </si>
  <si>
    <t>Don
Elzinga</t>
  </si>
  <si>
    <t>Will
Poirer</t>
  </si>
  <si>
    <t>Peter
Jensen</t>
  </si>
  <si>
    <t>Howard
Haines</t>
  </si>
  <si>
    <t>Tom
Block</t>
  </si>
  <si>
    <t>Randy
Allemang</t>
  </si>
  <si>
    <t>Dan
Kedziorek</t>
  </si>
  <si>
    <t>Mike
Lasecki</t>
  </si>
  <si>
    <t>Jim
Evanoff</t>
  </si>
  <si>
    <t>Tracy
Dahl</t>
  </si>
  <si>
    <t>Doug
Fiorani</t>
  </si>
  <si>
    <t>Count</t>
  </si>
  <si>
    <t>Agreed to judge</t>
  </si>
  <si>
    <t>#12 Montana Tech</t>
  </si>
  <si>
    <t>#1 University of Wisconsin-Madison</t>
  </si>
  <si>
    <t>#4 SUNY-Buffalo</t>
  </si>
  <si>
    <t>#5 Clarkson University</t>
  </si>
  <si>
    <t>#6 University of Wisconsin-Platteville</t>
  </si>
  <si>
    <t>#7 Minnesota State University - Mankato</t>
  </si>
  <si>
    <t>#8 Kettering University</t>
  </si>
  <si>
    <t>#11 University of Idaho</t>
  </si>
  <si>
    <t>#15 University of Alberta</t>
  </si>
  <si>
    <t>#17 McGill University</t>
  </si>
  <si>
    <t>#2 Michigan Tech University</t>
  </si>
  <si>
    <t>#10 École de technologie supérieure</t>
  </si>
  <si>
    <t>Judge</t>
  </si>
  <si>
    <t>Leon
LaVigne</t>
  </si>
  <si>
    <t>Kurt
Person</t>
  </si>
  <si>
    <t>Jim Churchill</t>
  </si>
  <si>
    <t>SAE CSC 2005 Noise Testing</t>
  </si>
  <si>
    <t>SAE CSC2005 Oral Presentation Results</t>
  </si>
  <si>
    <t>SAE CSC2005 Fuel Economy/Endurance Results</t>
  </si>
  <si>
    <t>SAE CSC2005 Technology Implementation Cost Assessment Results</t>
  </si>
  <si>
    <t>SAE CSC2005 Static Display Results</t>
  </si>
  <si>
    <t>SAE CSC2005 Acceleration Results</t>
  </si>
  <si>
    <t>Max</t>
  </si>
  <si>
    <t>Min</t>
  </si>
  <si>
    <t>SAE CSC2005 Shock Input/Rider Comfort Results</t>
  </si>
  <si>
    <t>SAE CSC2005 Cold Start Results</t>
  </si>
  <si>
    <t>SAE CSC2005 Emission Testing Results</t>
  </si>
  <si>
    <t>SAE CSC2005 Objective Handling/Driveability Event Results</t>
  </si>
  <si>
    <t>Shock Input</t>
  </si>
  <si>
    <t>Objective</t>
  </si>
  <si>
    <t>Display</t>
  </si>
  <si>
    <t>SAE CSC2005 Final Score</t>
  </si>
  <si>
    <t>Subjective</t>
  </si>
  <si>
    <t>Ride</t>
  </si>
  <si>
    <t>SAE CSC2005 Subjective Ride Results</t>
  </si>
  <si>
    <t>SAE CSC2005 Penalties</t>
  </si>
  <si>
    <t>Late TICA</t>
  </si>
  <si>
    <t>Late Design 
Write-up</t>
  </si>
  <si>
    <t>#3 University of Maine</t>
  </si>
  <si>
    <t>Battery</t>
  </si>
  <si>
    <t>Points for passing</t>
  </si>
  <si>
    <t>Bonus Points</t>
  </si>
  <si>
    <t>Final Score</t>
  </si>
  <si>
    <t>Time</t>
  </si>
  <si>
    <t>Rider Comfort</t>
  </si>
  <si>
    <t>Pss</t>
  </si>
  <si>
    <t>Leon LaVigne</t>
  </si>
  <si>
    <t xml:space="preserve">     </t>
  </si>
  <si>
    <t>Dan Nehmar</t>
  </si>
  <si>
    <t>Bill
Schumman</t>
  </si>
  <si>
    <t>Steve Scheibe</t>
  </si>
  <si>
    <t>.</t>
  </si>
  <si>
    <t>University of Alberta</t>
  </si>
  <si>
    <t>University of Wisconsin - Madison</t>
  </si>
  <si>
    <t>Peter Jensen</t>
  </si>
  <si>
    <t>Joe Wegleitner</t>
  </si>
  <si>
    <t>Don Elzinga, Jr.</t>
  </si>
  <si>
    <t>Kurt Person</t>
  </si>
  <si>
    <t>Brian Zengler</t>
  </si>
  <si>
    <t>Gus Aramayo</t>
  </si>
  <si>
    <t>Dan Kedziorek</t>
  </si>
  <si>
    <t>Dan Nehmer</t>
  </si>
  <si>
    <t>Jeff Gillen</t>
  </si>
  <si>
    <t>Tracy Dahl</t>
  </si>
  <si>
    <t>Clarkson University</t>
  </si>
  <si>
    <t>Best Ride Winner</t>
  </si>
  <si>
    <t>University at Buffalo, SUNY</t>
  </si>
  <si>
    <t>University of Maine</t>
  </si>
  <si>
    <t>University of Wisconsin - Platteville</t>
  </si>
  <si>
    <t>Kettering University</t>
  </si>
  <si>
    <t xml:space="preserve">Passing control sled </t>
  </si>
  <si>
    <t>Speeding on test course</t>
  </si>
  <si>
    <t>Late Paper and TICA</t>
  </si>
  <si>
    <t>Late Design Write-up</t>
  </si>
  <si>
    <t>Late for Oral Presentation</t>
  </si>
  <si>
    <t>Minutes</t>
  </si>
  <si>
    <t>Control Snowmobile (must be better than this)</t>
  </si>
  <si>
    <t>Including it would have resulted in zero scores for all teams.</t>
  </si>
  <si>
    <t xml:space="preserve">The measured ride comfort of the Control Sled was better than all the sleds.  </t>
  </si>
  <si>
    <t>Control Snowmobile (must be quiter)</t>
  </si>
  <si>
    <t>Control Snowmobile for comparison only</t>
  </si>
  <si>
    <t>Control for comparison only</t>
  </si>
  <si>
    <t xml:space="preserve">Control Sled for comparison only </t>
  </si>
  <si>
    <t>Control Sled for comparison only</t>
  </si>
  <si>
    <t>University at Buffalo, SUNYand Clarkson University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</si>
</sst>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00"/>
    <numFmt numFmtId="165" formatCode="0.0"/>
    <numFmt numFmtId="166" formatCode="00000"/>
    <numFmt numFmtId="167" formatCode="#,##0.0000"/>
    <numFmt numFmtId="168" formatCode="&quot;$&quot;#,##0.00"/>
    <numFmt numFmtId="169" formatCode="&quot;$&quot;#,##0"/>
    <numFmt numFmtId="170" formatCode="0.000"/>
    <numFmt numFmtId="171" formatCode="#,##0.0"/>
    <numFmt numFmtId="172" formatCode="0.0%"/>
  </numFmts>
  <fonts count="1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0"/>
      <color indexed="14"/>
      <name val="Arial"/>
      <family val="2"/>
    </font>
    <font>
      <i/>
      <sz val="9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b/>
      <i/>
      <sz val="14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Border="1" applyAlignment="1">
      <alignment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165" fontId="0" fillId="0" borderId="0" xfId="0" applyNumberFormat="1" applyFill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65" fontId="0" fillId="0" borderId="0" xfId="0" applyNumberForma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4" fillId="0" borderId="0" xfId="0" applyFont="1" applyFill="1" applyBorder="1" applyAlignment="1" applyProtection="1">
      <alignment horizontal="right"/>
      <protection/>
    </xf>
    <xf numFmtId="1" fontId="1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44" fontId="6" fillId="0" borderId="0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" fontId="4" fillId="0" borderId="0" xfId="0" applyNumberFormat="1" applyFont="1" applyAlignment="1" applyProtection="1">
      <alignment horizontal="right"/>
      <protection/>
    </xf>
    <xf numFmtId="1" fontId="3" fillId="0" borderId="0" xfId="0" applyNumberFormat="1" applyFont="1" applyAlignment="1" applyProtection="1">
      <alignment horizontal="center"/>
      <protection/>
    </xf>
    <xf numFmtId="1" fontId="4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wrapText="1"/>
      <protection/>
    </xf>
    <xf numFmtId="1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165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 applyProtection="1">
      <alignment horizontal="center"/>
      <protection/>
    </xf>
    <xf numFmtId="165" fontId="3" fillId="0" borderId="0" xfId="0" applyNumberFormat="1" applyFont="1" applyFill="1" applyAlignment="1" applyProtection="1">
      <alignment horizontal="center"/>
      <protection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65" fontId="4" fillId="0" borderId="1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8" fontId="4" fillId="0" borderId="0" xfId="0" applyNumberFormat="1" applyFont="1" applyFill="1" applyBorder="1" applyAlignment="1" applyProtection="1">
      <alignment/>
      <protection/>
    </xf>
    <xf numFmtId="168" fontId="0" fillId="0" borderId="0" xfId="0" applyNumberForma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165" fontId="0" fillId="0" borderId="0" xfId="0" applyNumberFormat="1" applyAlignment="1" applyProtection="1">
      <alignment horizontal="center"/>
      <protection/>
    </xf>
    <xf numFmtId="165" fontId="0" fillId="0" borderId="0" xfId="0" applyNumberFormat="1" applyAlignment="1">
      <alignment/>
    </xf>
    <xf numFmtId="0" fontId="1" fillId="0" borderId="0" xfId="0" applyFont="1" applyBorder="1" applyAlignment="1" applyProtection="1">
      <alignment horizontal="center"/>
      <protection/>
    </xf>
    <xf numFmtId="170" fontId="0" fillId="0" borderId="1" xfId="0" applyNumberForma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4" fillId="0" borderId="1" xfId="0" applyFont="1" applyFill="1" applyBorder="1" applyAlignment="1" applyProtection="1">
      <alignment horizontal="center"/>
      <protection/>
    </xf>
    <xf numFmtId="170" fontId="0" fillId="0" borderId="0" xfId="0" applyNumberFormat="1" applyFill="1" applyBorder="1" applyAlignment="1" applyProtection="1">
      <alignment horizontal="center"/>
      <protection/>
    </xf>
    <xf numFmtId="165" fontId="1" fillId="0" borderId="0" xfId="0" applyNumberFormat="1" applyFont="1" applyAlignment="1" applyProtection="1">
      <alignment horizontal="center"/>
      <protection/>
    </xf>
    <xf numFmtId="1" fontId="0" fillId="0" borderId="0" xfId="0" applyNumberFormat="1" applyFill="1" applyAlignment="1" applyProtection="1">
      <alignment horizontal="center"/>
      <protection/>
    </xf>
    <xf numFmtId="165" fontId="0" fillId="0" borderId="0" xfId="0" applyNumberFormat="1" applyFont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165" fontId="0" fillId="0" borderId="1" xfId="0" applyNumberFormat="1" applyFill="1" applyBorder="1" applyAlignment="1" applyProtection="1">
      <alignment horizontal="center"/>
      <protection/>
    </xf>
    <xf numFmtId="165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65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172" fontId="0" fillId="0" borderId="0" xfId="0" applyNumberFormat="1" applyAlignment="1" applyProtection="1">
      <alignment horizontal="center"/>
      <protection/>
    </xf>
    <xf numFmtId="168" fontId="4" fillId="0" borderId="1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right"/>
      <protection/>
    </xf>
    <xf numFmtId="2" fontId="0" fillId="0" borderId="0" xfId="0" applyNumberForma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170" fontId="0" fillId="0" borderId="0" xfId="0" applyNumberForma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1" fontId="0" fillId="0" borderId="0" xfId="0" applyNumberFormat="1" applyFill="1" applyBorder="1" applyAlignment="1" applyProtection="1">
      <alignment/>
      <protection/>
    </xf>
    <xf numFmtId="1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4" fillId="0" borderId="0" xfId="0" applyFont="1" applyFill="1" applyBorder="1" applyAlignment="1" applyProtection="1" quotePrefix="1">
      <alignment horizontal="center"/>
      <protection/>
    </xf>
    <xf numFmtId="0" fontId="3" fillId="0" borderId="0" xfId="0" applyFont="1" applyFill="1" applyBorder="1" applyAlignment="1" applyProtection="1">
      <alignment wrapText="1"/>
      <protection/>
    </xf>
    <xf numFmtId="0" fontId="3" fillId="0" borderId="0" xfId="0" applyFont="1" applyAlignment="1" applyProtection="1">
      <alignment horizontal="left"/>
      <protection/>
    </xf>
    <xf numFmtId="1" fontId="3" fillId="0" borderId="0" xfId="0" applyNumberFormat="1" applyFont="1" applyAlignment="1" applyProtection="1">
      <alignment horizontal="right"/>
      <protection/>
    </xf>
    <xf numFmtId="1" fontId="0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68" fontId="0" fillId="0" borderId="0" xfId="0" applyNumberFormat="1" applyFont="1" applyAlignment="1" applyProtection="1">
      <alignment/>
      <protection/>
    </xf>
    <xf numFmtId="2" fontId="4" fillId="0" borderId="0" xfId="0" applyNumberFormat="1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65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>
      <alignment/>
    </xf>
    <xf numFmtId="2" fontId="9" fillId="0" borderId="0" xfId="0" applyNumberFormat="1" applyFont="1" applyFill="1" applyBorder="1" applyAlignment="1" applyProtection="1">
      <alignment horizontal="center"/>
      <protection/>
    </xf>
    <xf numFmtId="165" fontId="9" fillId="0" borderId="0" xfId="0" applyNumberFormat="1" applyFont="1" applyFill="1" applyBorder="1" applyAlignment="1" applyProtection="1">
      <alignment/>
      <protection/>
    </xf>
    <xf numFmtId="165" fontId="9" fillId="0" borderId="0" xfId="0" applyNumberFormat="1" applyFont="1" applyFill="1" applyAlignment="1" applyProtection="1">
      <alignment/>
      <protection/>
    </xf>
    <xf numFmtId="165" fontId="9" fillId="0" borderId="0" xfId="0" applyNumberFormat="1" applyFont="1" applyFill="1" applyAlignment="1" applyProtection="1">
      <alignment/>
      <protection/>
    </xf>
    <xf numFmtId="165" fontId="9" fillId="0" borderId="0" xfId="0" applyNumberFormat="1" applyFont="1" applyFill="1" applyAlignment="1">
      <alignment/>
    </xf>
    <xf numFmtId="165" fontId="9" fillId="0" borderId="0" xfId="0" applyNumberFormat="1" applyFont="1" applyFill="1" applyAlignment="1">
      <alignment horizontal="center"/>
    </xf>
    <xf numFmtId="165" fontId="9" fillId="0" borderId="0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2" fontId="10" fillId="0" borderId="0" xfId="0" applyNumberFormat="1" applyFont="1" applyFill="1" applyBorder="1" applyAlignment="1" applyProtection="1">
      <alignment horizontal="center"/>
      <protection/>
    </xf>
    <xf numFmtId="170" fontId="10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10" fillId="0" borderId="0" xfId="0" applyFont="1" applyAlignment="1" applyProtection="1">
      <alignment/>
      <protection/>
    </xf>
    <xf numFmtId="2" fontId="10" fillId="0" borderId="0" xfId="0" applyNumberFormat="1" applyFont="1" applyFill="1" applyBorder="1" applyAlignment="1">
      <alignment horizontal="center"/>
    </xf>
    <xf numFmtId="170" fontId="10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 applyProtection="1">
      <alignment horizontal="center"/>
      <protection/>
    </xf>
    <xf numFmtId="165" fontId="10" fillId="0" borderId="0" xfId="0" applyNumberFormat="1" applyFont="1" applyFill="1" applyBorder="1" applyAlignment="1">
      <alignment horizontal="center"/>
    </xf>
    <xf numFmtId="170" fontId="9" fillId="0" borderId="0" xfId="0" applyNumberFormat="1" applyFont="1" applyFill="1" applyBorder="1" applyAlignment="1" applyProtection="1">
      <alignment horizontal="center"/>
      <protection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70" fontId="4" fillId="0" borderId="0" xfId="0" applyNumberFormat="1" applyFont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2" fontId="4" fillId="0" borderId="0" xfId="0" applyNumberFormat="1" applyFont="1" applyFill="1" applyBorder="1" applyAlignment="1" applyProtection="1">
      <alignment horizontal="center"/>
      <protection/>
    </xf>
    <xf numFmtId="165" fontId="4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 applyProtection="1">
      <alignment horizontal="right"/>
      <protection/>
    </xf>
    <xf numFmtId="172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165" fontId="0" fillId="0" borderId="0" xfId="0" applyNumberFormat="1" applyFill="1" applyBorder="1" applyAlignment="1" applyProtection="1">
      <alignment/>
      <protection/>
    </xf>
    <xf numFmtId="2" fontId="4" fillId="0" borderId="1" xfId="0" applyNumberFormat="1" applyFont="1" applyFill="1" applyBorder="1" applyAlignment="1" applyProtection="1">
      <alignment horizontal="center"/>
      <protection/>
    </xf>
    <xf numFmtId="170" fontId="0" fillId="0" borderId="0" xfId="0" applyNumberFormat="1" applyFont="1" applyAlignment="1" applyProtection="1">
      <alignment/>
      <protection/>
    </xf>
    <xf numFmtId="165" fontId="0" fillId="0" borderId="1" xfId="0" applyNumberForma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2" fontId="4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170" fontId="4" fillId="0" borderId="1" xfId="0" applyNumberFormat="1" applyFont="1" applyFill="1" applyBorder="1" applyAlignment="1" applyProtection="1">
      <alignment horizontal="center"/>
      <protection/>
    </xf>
    <xf numFmtId="2" fontId="4" fillId="0" borderId="1" xfId="0" applyNumberFormat="1" applyFont="1" applyFill="1" applyBorder="1" applyAlignment="1" applyProtection="1" quotePrefix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/>
      <protection/>
    </xf>
    <xf numFmtId="170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70" fontId="4" fillId="0" borderId="0" xfId="0" applyNumberFormat="1" applyFont="1" applyAlignment="1" applyProtection="1">
      <alignment horizontal="left"/>
      <protection/>
    </xf>
    <xf numFmtId="170" fontId="0" fillId="0" borderId="1" xfId="0" applyNumberFormat="1" applyBorder="1" applyAlignment="1">
      <alignment horizontal="center"/>
    </xf>
    <xf numFmtId="2" fontId="3" fillId="0" borderId="0" xfId="0" applyNumberFormat="1" applyFont="1" applyFill="1" applyBorder="1" applyAlignment="1" applyProtection="1">
      <alignment horizontal="center"/>
      <protection/>
    </xf>
    <xf numFmtId="0" fontId="4" fillId="0" borderId="2" xfId="0" applyFont="1" applyFill="1" applyBorder="1" applyAlignment="1" applyProtection="1">
      <alignment horizontal="center"/>
      <protection/>
    </xf>
    <xf numFmtId="0" fontId="4" fillId="0" borderId="3" xfId="0" applyFont="1" applyFill="1" applyBorder="1" applyAlignment="1" applyProtection="1">
      <alignment horizontal="center"/>
      <protection/>
    </xf>
    <xf numFmtId="2" fontId="4" fillId="0" borderId="4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2" fillId="0" borderId="0" xfId="0" applyFont="1" applyFill="1" applyAlignment="1" applyProtection="1">
      <alignment horizontal="center" wrapText="1"/>
      <protection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65" fontId="0" fillId="0" borderId="5" xfId="0" applyNumberFormat="1" applyFill="1" applyBorder="1" applyAlignment="1" applyProtection="1">
      <alignment horizontal="center"/>
      <protection/>
    </xf>
    <xf numFmtId="165" fontId="0" fillId="0" borderId="5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Fill="1" applyBorder="1" applyAlignment="1" applyProtection="1">
      <alignment horizontal="center"/>
      <protection/>
    </xf>
    <xf numFmtId="0" fontId="0" fillId="0" borderId="0" xfId="0" applyAlignment="1">
      <alignment vertical="top" wrapText="1"/>
    </xf>
    <xf numFmtId="0" fontId="4" fillId="0" borderId="0" xfId="0" applyFont="1" applyFill="1" applyBorder="1" applyAlignment="1" applyProtection="1">
      <alignment horizontal="center" wrapText="1"/>
      <protection/>
    </xf>
    <xf numFmtId="168" fontId="3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2" fontId="1" fillId="0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 quotePrefix="1">
      <alignment/>
    </xf>
    <xf numFmtId="0" fontId="18" fillId="0" borderId="1" xfId="0" applyFont="1" applyFill="1" applyBorder="1" applyAlignment="1" applyProtection="1">
      <alignment horizontal="center"/>
      <protection/>
    </xf>
    <xf numFmtId="2" fontId="0" fillId="0" borderId="1" xfId="0" applyNumberFormat="1" applyBorder="1" applyAlignment="1">
      <alignment horizontal="center"/>
    </xf>
    <xf numFmtId="1" fontId="3" fillId="0" borderId="0" xfId="0" applyNumberFormat="1" applyFont="1" applyFill="1" applyBorder="1" applyAlignment="1">
      <alignment/>
    </xf>
    <xf numFmtId="170" fontId="0" fillId="0" borderId="1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zoomScale="85" zoomScaleNormal="85" workbookViewId="0" topLeftCell="A1">
      <selection activeCell="B22" sqref="B22"/>
    </sheetView>
  </sheetViews>
  <sheetFormatPr defaultColWidth="9.140625" defaultRowHeight="12.75"/>
  <cols>
    <col min="1" max="1" width="32.7109375" style="0" customWidth="1"/>
    <col min="2" max="2" width="8.7109375" style="0" customWidth="1"/>
    <col min="3" max="3" width="9.00390625" style="0" customWidth="1"/>
    <col min="4" max="4" width="8.7109375" style="0" customWidth="1"/>
    <col min="5" max="5" width="11.00390625" style="0" customWidth="1"/>
    <col min="6" max="20" width="8.7109375" style="0" customWidth="1"/>
    <col min="23" max="23" width="9.140625" style="182" customWidth="1"/>
  </cols>
  <sheetData>
    <row r="1" spans="1:23" ht="18.75">
      <c r="A1" s="9" t="s">
        <v>89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187"/>
    </row>
    <row r="2" spans="1:23" ht="12.75">
      <c r="A2" s="16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16"/>
      <c r="V2" s="7"/>
      <c r="W2" s="187"/>
    </row>
    <row r="3" spans="1:24" ht="45">
      <c r="A3" s="16"/>
      <c r="B3" s="181" t="s">
        <v>93</v>
      </c>
      <c r="C3" s="181" t="s">
        <v>91</v>
      </c>
      <c r="D3" s="181" t="s">
        <v>92</v>
      </c>
      <c r="E3" s="181" t="s">
        <v>94</v>
      </c>
      <c r="F3" s="181" t="s">
        <v>95</v>
      </c>
      <c r="G3" s="181" t="s">
        <v>96</v>
      </c>
      <c r="H3" s="181" t="s">
        <v>97</v>
      </c>
      <c r="I3" s="181" t="s">
        <v>98</v>
      </c>
      <c r="J3" s="181" t="s">
        <v>99</v>
      </c>
      <c r="K3" s="181" t="s">
        <v>100</v>
      </c>
      <c r="L3" s="181" t="s">
        <v>101</v>
      </c>
      <c r="M3" s="181" t="s">
        <v>102</v>
      </c>
      <c r="N3" s="181" t="s">
        <v>103</v>
      </c>
      <c r="O3" s="181" t="s">
        <v>104</v>
      </c>
      <c r="P3" s="181" t="s">
        <v>105</v>
      </c>
      <c r="Q3" s="181" t="s">
        <v>106</v>
      </c>
      <c r="R3" s="181" t="s">
        <v>107</v>
      </c>
      <c r="S3" s="181" t="s">
        <v>157</v>
      </c>
      <c r="T3" s="181" t="s">
        <v>108</v>
      </c>
      <c r="U3" s="50" t="s">
        <v>11</v>
      </c>
      <c r="V3" s="24" t="s">
        <v>40</v>
      </c>
      <c r="W3" s="36"/>
      <c r="X3" s="4"/>
    </row>
    <row r="4" spans="1:24" ht="12.75">
      <c r="A4" s="189" t="s">
        <v>112</v>
      </c>
      <c r="B4" s="54"/>
      <c r="C4" s="54"/>
      <c r="D4" s="54">
        <v>90</v>
      </c>
      <c r="E4" s="160"/>
      <c r="F4" s="54">
        <v>93</v>
      </c>
      <c r="G4" s="54">
        <v>94</v>
      </c>
      <c r="H4" s="54">
        <v>95</v>
      </c>
      <c r="I4" s="54">
        <v>88</v>
      </c>
      <c r="J4" s="54"/>
      <c r="K4" s="54"/>
      <c r="L4" s="54">
        <v>94</v>
      </c>
      <c r="M4" s="54"/>
      <c r="N4" s="54"/>
      <c r="O4" s="54">
        <v>88</v>
      </c>
      <c r="P4" s="54"/>
      <c r="Q4" s="54"/>
      <c r="R4" s="54">
        <v>97</v>
      </c>
      <c r="S4" s="54"/>
      <c r="T4" s="54">
        <v>94</v>
      </c>
      <c r="U4" s="51">
        <f>AVERAGE(B4:T4)</f>
        <v>92.55555555555556</v>
      </c>
      <c r="V4" s="33">
        <f>RANK(U4,$U$4:$U$16)</f>
        <v>1</v>
      </c>
      <c r="W4" s="36">
        <f>COUNTA(B4:T4)</f>
        <v>9</v>
      </c>
      <c r="X4" s="4"/>
    </row>
    <row r="5" spans="1:24" ht="12.75">
      <c r="A5" s="189" t="s">
        <v>121</v>
      </c>
      <c r="B5" s="54"/>
      <c r="C5" s="54">
        <v>95</v>
      </c>
      <c r="D5" s="54"/>
      <c r="E5" s="160"/>
      <c r="F5" s="54">
        <v>82</v>
      </c>
      <c r="G5" s="54">
        <v>90</v>
      </c>
      <c r="H5" s="54">
        <v>88</v>
      </c>
      <c r="I5" s="54">
        <v>79</v>
      </c>
      <c r="J5" s="54"/>
      <c r="K5" s="54">
        <v>73</v>
      </c>
      <c r="L5" s="54">
        <v>93</v>
      </c>
      <c r="M5" s="54"/>
      <c r="N5" s="54">
        <v>77</v>
      </c>
      <c r="O5" s="54">
        <v>83</v>
      </c>
      <c r="P5" s="54"/>
      <c r="Q5" s="54"/>
      <c r="R5" s="54">
        <v>94</v>
      </c>
      <c r="S5" s="54"/>
      <c r="T5" s="54">
        <v>90</v>
      </c>
      <c r="U5" s="51">
        <f aca="true" t="shared" si="0" ref="U5:U16">AVERAGE(B5:T5)</f>
        <v>85.81818181818181</v>
      </c>
      <c r="V5" s="33">
        <f aca="true" t="shared" si="1" ref="V5:V16">RANK(U5,$U$4:$U$16)</f>
        <v>3</v>
      </c>
      <c r="W5" s="36">
        <f aca="true" t="shared" si="2" ref="W5:W16">COUNTA(B5:T5)</f>
        <v>11</v>
      </c>
      <c r="X5" s="4"/>
    </row>
    <row r="6" spans="1:24" ht="12.75">
      <c r="A6" t="s">
        <v>149</v>
      </c>
      <c r="B6" s="74">
        <v>74</v>
      </c>
      <c r="C6" s="74"/>
      <c r="D6" s="74"/>
      <c r="E6" s="160">
        <v>71</v>
      </c>
      <c r="F6" s="74"/>
      <c r="G6" s="74">
        <v>76</v>
      </c>
      <c r="H6" s="74">
        <v>59</v>
      </c>
      <c r="I6" s="74">
        <v>59</v>
      </c>
      <c r="J6" s="74"/>
      <c r="K6" s="74"/>
      <c r="L6" s="74">
        <v>35</v>
      </c>
      <c r="M6" s="74">
        <v>89</v>
      </c>
      <c r="N6" s="74"/>
      <c r="O6" s="74">
        <v>91</v>
      </c>
      <c r="P6" s="74"/>
      <c r="Q6" s="74"/>
      <c r="R6" s="74">
        <v>89</v>
      </c>
      <c r="S6" s="74">
        <v>92</v>
      </c>
      <c r="T6" s="74"/>
      <c r="U6" s="51">
        <f t="shared" si="0"/>
        <v>73.5</v>
      </c>
      <c r="V6" s="33">
        <f t="shared" si="1"/>
        <v>8</v>
      </c>
      <c r="W6" s="36">
        <f t="shared" si="2"/>
        <v>10</v>
      </c>
      <c r="X6" s="4"/>
    </row>
    <row r="7" spans="1:24" ht="12.75">
      <c r="A7" s="189" t="s">
        <v>113</v>
      </c>
      <c r="B7" s="74"/>
      <c r="C7" s="74">
        <v>85</v>
      </c>
      <c r="D7" s="74"/>
      <c r="E7" s="160"/>
      <c r="F7" s="74">
        <v>80</v>
      </c>
      <c r="G7" s="74">
        <v>75</v>
      </c>
      <c r="H7" s="74">
        <v>57</v>
      </c>
      <c r="I7" s="74">
        <v>71</v>
      </c>
      <c r="J7" s="74"/>
      <c r="K7" s="74"/>
      <c r="L7" s="74">
        <v>71</v>
      </c>
      <c r="M7" s="74"/>
      <c r="N7" s="74"/>
      <c r="O7" s="74">
        <v>83</v>
      </c>
      <c r="P7" s="74">
        <v>87</v>
      </c>
      <c r="Q7" s="74"/>
      <c r="R7" s="74">
        <v>85</v>
      </c>
      <c r="S7" s="74"/>
      <c r="T7" s="74">
        <v>75</v>
      </c>
      <c r="U7" s="51">
        <f t="shared" si="0"/>
        <v>76.9</v>
      </c>
      <c r="V7" s="33">
        <f t="shared" si="1"/>
        <v>7</v>
      </c>
      <c r="W7" s="36">
        <f t="shared" si="2"/>
        <v>10</v>
      </c>
      <c r="X7" s="4"/>
    </row>
    <row r="8" spans="1:24" ht="12.75">
      <c r="A8" s="189" t="s">
        <v>114</v>
      </c>
      <c r="B8" s="54"/>
      <c r="C8" s="54">
        <v>85</v>
      </c>
      <c r="D8" s="54"/>
      <c r="E8" s="160"/>
      <c r="F8" s="54">
        <v>82</v>
      </c>
      <c r="G8" s="54"/>
      <c r="H8" s="54">
        <v>66</v>
      </c>
      <c r="I8" s="54">
        <v>74</v>
      </c>
      <c r="J8" s="54"/>
      <c r="K8" s="54"/>
      <c r="L8" s="54">
        <v>91</v>
      </c>
      <c r="M8" s="54"/>
      <c r="N8" s="54"/>
      <c r="O8" s="54">
        <v>73</v>
      </c>
      <c r="P8" s="54">
        <v>86</v>
      </c>
      <c r="Q8" s="54"/>
      <c r="R8" s="54">
        <v>83</v>
      </c>
      <c r="S8" s="54"/>
      <c r="T8" s="54">
        <v>69</v>
      </c>
      <c r="U8" s="51">
        <f t="shared" si="0"/>
        <v>78.77777777777777</v>
      </c>
      <c r="V8" s="33">
        <f t="shared" si="1"/>
        <v>6</v>
      </c>
      <c r="W8" s="36">
        <f t="shared" si="2"/>
        <v>9</v>
      </c>
      <c r="X8" s="4"/>
    </row>
    <row r="9" spans="1:24" ht="12.75">
      <c r="A9" s="189" t="s">
        <v>115</v>
      </c>
      <c r="B9" s="54"/>
      <c r="C9" s="54"/>
      <c r="D9" s="54">
        <v>73</v>
      </c>
      <c r="E9" s="160"/>
      <c r="F9" s="54"/>
      <c r="G9" s="54">
        <v>78</v>
      </c>
      <c r="H9" s="54">
        <v>50</v>
      </c>
      <c r="I9" s="54">
        <v>78</v>
      </c>
      <c r="J9" s="54"/>
      <c r="K9" s="54"/>
      <c r="L9" s="54">
        <v>69</v>
      </c>
      <c r="M9" s="54"/>
      <c r="N9" s="54">
        <v>45</v>
      </c>
      <c r="O9" s="54">
        <v>74</v>
      </c>
      <c r="P9" s="54">
        <v>76</v>
      </c>
      <c r="Q9" s="54"/>
      <c r="R9" s="54">
        <v>87</v>
      </c>
      <c r="S9" s="54"/>
      <c r="T9" s="54"/>
      <c r="U9" s="51">
        <f t="shared" si="0"/>
        <v>70</v>
      </c>
      <c r="V9" s="33">
        <f t="shared" si="1"/>
        <v>11</v>
      </c>
      <c r="W9" s="36">
        <f t="shared" si="2"/>
        <v>9</v>
      </c>
      <c r="X9" s="4"/>
    </row>
    <row r="10" spans="1:24" ht="25.5">
      <c r="A10" s="189" t="s">
        <v>116</v>
      </c>
      <c r="B10" s="74"/>
      <c r="C10" s="74">
        <v>80</v>
      </c>
      <c r="D10" s="74"/>
      <c r="E10" s="160"/>
      <c r="F10" s="74"/>
      <c r="G10" s="74">
        <v>76</v>
      </c>
      <c r="H10" s="74">
        <v>75</v>
      </c>
      <c r="I10" s="74">
        <v>54</v>
      </c>
      <c r="J10" s="74">
        <v>75</v>
      </c>
      <c r="K10" s="74">
        <v>72</v>
      </c>
      <c r="L10" s="74">
        <v>71</v>
      </c>
      <c r="M10" s="74"/>
      <c r="N10" s="74"/>
      <c r="O10" s="74">
        <v>72</v>
      </c>
      <c r="P10" s="74"/>
      <c r="Q10" s="74"/>
      <c r="R10" s="74">
        <v>79</v>
      </c>
      <c r="S10" s="74"/>
      <c r="T10" s="74"/>
      <c r="U10" s="51">
        <f t="shared" si="0"/>
        <v>72.66666666666667</v>
      </c>
      <c r="V10" s="33">
        <f t="shared" si="1"/>
        <v>9</v>
      </c>
      <c r="W10" s="36">
        <f t="shared" si="2"/>
        <v>9</v>
      </c>
      <c r="X10" s="4"/>
    </row>
    <row r="11" spans="1:24" ht="12.75">
      <c r="A11" s="189" t="s">
        <v>117</v>
      </c>
      <c r="B11" s="74"/>
      <c r="C11" s="74"/>
      <c r="D11" s="74">
        <v>85</v>
      </c>
      <c r="E11" s="160"/>
      <c r="F11" s="74"/>
      <c r="G11" s="74">
        <v>81</v>
      </c>
      <c r="H11" s="74">
        <v>84</v>
      </c>
      <c r="I11" s="74">
        <v>82</v>
      </c>
      <c r="J11" s="74">
        <v>97</v>
      </c>
      <c r="K11" s="74">
        <v>76</v>
      </c>
      <c r="L11" s="74">
        <v>91</v>
      </c>
      <c r="M11" s="74"/>
      <c r="N11" s="74"/>
      <c r="O11" s="74">
        <v>88</v>
      </c>
      <c r="P11" s="74"/>
      <c r="Q11" s="74"/>
      <c r="R11" s="74">
        <v>95</v>
      </c>
      <c r="S11" s="74"/>
      <c r="T11" s="74"/>
      <c r="U11" s="51">
        <f t="shared" si="0"/>
        <v>86.55555555555556</v>
      </c>
      <c r="V11" s="33">
        <f t="shared" si="1"/>
        <v>2</v>
      </c>
      <c r="W11" s="36">
        <f t="shared" si="2"/>
        <v>9</v>
      </c>
      <c r="X11" s="4"/>
    </row>
    <row r="12" spans="1:24" ht="12.75">
      <c r="A12" s="189" t="s">
        <v>122</v>
      </c>
      <c r="B12" s="54"/>
      <c r="C12" s="54"/>
      <c r="D12" s="54">
        <v>64</v>
      </c>
      <c r="E12" s="160"/>
      <c r="F12" s="54"/>
      <c r="G12" s="54">
        <v>82</v>
      </c>
      <c r="H12" s="54">
        <v>69</v>
      </c>
      <c r="I12" s="54">
        <v>64</v>
      </c>
      <c r="J12" s="54">
        <v>83</v>
      </c>
      <c r="K12" s="54">
        <v>69.125</v>
      </c>
      <c r="L12" s="54">
        <v>71</v>
      </c>
      <c r="M12" s="54"/>
      <c r="N12" s="54">
        <v>47</v>
      </c>
      <c r="O12" s="54">
        <v>83</v>
      </c>
      <c r="P12" s="54"/>
      <c r="Q12" s="54"/>
      <c r="R12" s="54"/>
      <c r="S12" s="54"/>
      <c r="T12" s="54"/>
      <c r="U12" s="51">
        <f t="shared" si="0"/>
        <v>70.23611111111111</v>
      </c>
      <c r="V12" s="33">
        <f t="shared" si="1"/>
        <v>10</v>
      </c>
      <c r="W12" s="36">
        <f t="shared" si="2"/>
        <v>9</v>
      </c>
      <c r="X12" s="4"/>
    </row>
    <row r="13" spans="1:24" ht="12.75">
      <c r="A13" s="189" t="s">
        <v>118</v>
      </c>
      <c r="B13" s="54"/>
      <c r="C13" s="54"/>
      <c r="D13" s="54"/>
      <c r="E13" s="160">
        <v>85</v>
      </c>
      <c r="F13" s="54"/>
      <c r="G13" s="54"/>
      <c r="H13" s="54">
        <v>58</v>
      </c>
      <c r="I13" s="54">
        <v>85</v>
      </c>
      <c r="J13" s="54">
        <v>80</v>
      </c>
      <c r="K13" s="54">
        <v>87</v>
      </c>
      <c r="L13" s="54">
        <v>94</v>
      </c>
      <c r="M13" s="54"/>
      <c r="N13" s="54">
        <v>71</v>
      </c>
      <c r="O13" s="54">
        <v>86</v>
      </c>
      <c r="P13" s="54"/>
      <c r="Q13" s="54">
        <v>92</v>
      </c>
      <c r="R13" s="54"/>
      <c r="S13" s="54"/>
      <c r="T13" s="54"/>
      <c r="U13" s="51">
        <f t="shared" si="0"/>
        <v>82</v>
      </c>
      <c r="V13" s="33">
        <f t="shared" si="1"/>
        <v>4</v>
      </c>
      <c r="W13" s="36">
        <f t="shared" si="2"/>
        <v>9</v>
      </c>
      <c r="X13" s="4"/>
    </row>
    <row r="14" spans="1:24" ht="12.75">
      <c r="A14" s="189" t="s">
        <v>111</v>
      </c>
      <c r="B14" s="74">
        <v>85</v>
      </c>
      <c r="C14" s="74"/>
      <c r="D14" s="74"/>
      <c r="E14" s="160">
        <v>72</v>
      </c>
      <c r="F14" s="74"/>
      <c r="G14" s="74"/>
      <c r="H14" s="74">
        <v>83</v>
      </c>
      <c r="I14" s="74">
        <v>71</v>
      </c>
      <c r="J14" s="74"/>
      <c r="K14" s="74">
        <v>56</v>
      </c>
      <c r="L14" s="74">
        <v>81</v>
      </c>
      <c r="M14" s="74">
        <v>86</v>
      </c>
      <c r="N14" s="74"/>
      <c r="O14" s="74">
        <v>88</v>
      </c>
      <c r="P14" s="74"/>
      <c r="Q14" s="74">
        <v>88</v>
      </c>
      <c r="R14" s="74"/>
      <c r="S14" s="74">
        <v>91</v>
      </c>
      <c r="T14" s="74"/>
      <c r="U14" s="51">
        <f t="shared" si="0"/>
        <v>80.1</v>
      </c>
      <c r="V14" s="33">
        <f t="shared" si="1"/>
        <v>5</v>
      </c>
      <c r="W14" s="36">
        <f t="shared" si="2"/>
        <v>10</v>
      </c>
      <c r="X14" s="4"/>
    </row>
    <row r="15" spans="1:24" ht="12.75">
      <c r="A15" s="189" t="s">
        <v>119</v>
      </c>
      <c r="B15" s="74">
        <v>73</v>
      </c>
      <c r="C15" s="74"/>
      <c r="D15" s="74"/>
      <c r="E15" s="160">
        <v>69</v>
      </c>
      <c r="F15" s="74"/>
      <c r="G15" s="74"/>
      <c r="H15" s="74">
        <v>74</v>
      </c>
      <c r="I15" s="74">
        <v>60</v>
      </c>
      <c r="J15" s="74"/>
      <c r="K15" s="74">
        <v>59</v>
      </c>
      <c r="L15" s="74">
        <v>45</v>
      </c>
      <c r="M15" s="74">
        <v>82</v>
      </c>
      <c r="N15" s="74"/>
      <c r="O15" s="74">
        <v>73</v>
      </c>
      <c r="P15" s="74"/>
      <c r="Q15" s="74">
        <v>90</v>
      </c>
      <c r="R15" s="74"/>
      <c r="S15" s="74">
        <v>73</v>
      </c>
      <c r="T15" s="74"/>
      <c r="U15" s="51">
        <f t="shared" si="0"/>
        <v>69.8</v>
      </c>
      <c r="V15" s="33">
        <f t="shared" si="1"/>
        <v>12</v>
      </c>
      <c r="W15" s="36">
        <f t="shared" si="2"/>
        <v>10</v>
      </c>
      <c r="X15" s="4"/>
    </row>
    <row r="16" spans="1:24" ht="12.75">
      <c r="A16" s="189" t="s">
        <v>120</v>
      </c>
      <c r="B16" s="184">
        <v>59</v>
      </c>
      <c r="C16" s="184"/>
      <c r="D16" s="184"/>
      <c r="E16" s="185"/>
      <c r="F16" s="184"/>
      <c r="G16" s="184"/>
      <c r="H16" s="184">
        <v>66</v>
      </c>
      <c r="I16" s="184">
        <v>46</v>
      </c>
      <c r="J16" s="184"/>
      <c r="K16" s="184">
        <v>31</v>
      </c>
      <c r="L16" s="184">
        <v>23</v>
      </c>
      <c r="M16" s="184">
        <v>68</v>
      </c>
      <c r="N16" s="184"/>
      <c r="O16" s="184">
        <v>74</v>
      </c>
      <c r="P16" s="184">
        <v>36</v>
      </c>
      <c r="Q16" s="184">
        <v>63</v>
      </c>
      <c r="R16" s="184"/>
      <c r="S16" s="184">
        <v>69</v>
      </c>
      <c r="T16" s="184"/>
      <c r="U16" s="51">
        <f t="shared" si="0"/>
        <v>53.5</v>
      </c>
      <c r="V16" s="33">
        <f t="shared" si="1"/>
        <v>13</v>
      </c>
      <c r="W16" s="36">
        <f t="shared" si="2"/>
        <v>10</v>
      </c>
      <c r="X16" s="4"/>
    </row>
    <row r="17" spans="1:24" ht="12.75">
      <c r="A17" s="27" t="s">
        <v>90</v>
      </c>
      <c r="B17" s="188" t="s">
        <v>90</v>
      </c>
      <c r="C17" s="20"/>
      <c r="D17" s="20"/>
      <c r="E17" s="186"/>
      <c r="F17" s="20"/>
      <c r="G17" s="20"/>
      <c r="H17" s="20"/>
      <c r="I17" s="20" t="s">
        <v>90</v>
      </c>
      <c r="J17" s="20"/>
      <c r="K17" s="20"/>
      <c r="L17" s="20" t="s">
        <v>90</v>
      </c>
      <c r="M17" s="20"/>
      <c r="N17" s="20"/>
      <c r="O17" s="20"/>
      <c r="P17" s="20"/>
      <c r="Q17" s="20"/>
      <c r="R17" s="20"/>
      <c r="S17" s="20"/>
      <c r="T17" s="20"/>
      <c r="U17" s="51" t="s">
        <v>90</v>
      </c>
      <c r="V17" s="33" t="s">
        <v>90</v>
      </c>
      <c r="W17" s="36"/>
      <c r="X17" s="4"/>
    </row>
    <row r="18" spans="1:22" ht="12.75">
      <c r="A18" s="27" t="s">
        <v>90</v>
      </c>
      <c r="B18" s="188" t="s">
        <v>90</v>
      </c>
      <c r="C18" s="20"/>
      <c r="D18" s="20"/>
      <c r="E18" s="186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51" t="s">
        <v>90</v>
      </c>
      <c r="V18" s="33" t="s">
        <v>90</v>
      </c>
    </row>
    <row r="19" spans="1:21" s="182" customFormat="1" ht="12.75">
      <c r="A19" s="182" t="s">
        <v>110</v>
      </c>
      <c r="B19" s="183">
        <v>4</v>
      </c>
      <c r="C19" s="183">
        <v>4</v>
      </c>
      <c r="D19" s="183">
        <v>4</v>
      </c>
      <c r="E19" s="183">
        <v>4</v>
      </c>
      <c r="F19" s="183">
        <v>4</v>
      </c>
      <c r="G19" s="183">
        <v>8</v>
      </c>
      <c r="H19" s="183">
        <v>13</v>
      </c>
      <c r="I19" s="183">
        <v>13</v>
      </c>
      <c r="J19" s="183">
        <v>4</v>
      </c>
      <c r="K19" s="183">
        <v>8</v>
      </c>
      <c r="L19" s="183">
        <v>13</v>
      </c>
      <c r="M19" s="183">
        <v>4</v>
      </c>
      <c r="N19" s="183">
        <v>4</v>
      </c>
      <c r="O19" s="183">
        <v>13</v>
      </c>
      <c r="P19" s="183">
        <v>4</v>
      </c>
      <c r="Q19" s="183">
        <v>4</v>
      </c>
      <c r="R19" s="183">
        <v>8</v>
      </c>
      <c r="S19" s="183"/>
      <c r="T19" s="183">
        <v>4</v>
      </c>
      <c r="U19" s="183"/>
    </row>
    <row r="20" spans="1:21" ht="12.75">
      <c r="A20" t="s">
        <v>109</v>
      </c>
      <c r="B20" s="1">
        <f>COUNTA(B4:B16)</f>
        <v>4</v>
      </c>
      <c r="C20" s="1">
        <f aca="true" t="shared" si="3" ref="C20:T20">COUNTA(C4:C16)</f>
        <v>4</v>
      </c>
      <c r="D20" s="1">
        <f t="shared" si="3"/>
        <v>4</v>
      </c>
      <c r="E20" s="1">
        <f t="shared" si="3"/>
        <v>4</v>
      </c>
      <c r="F20" s="1">
        <f t="shared" si="3"/>
        <v>4</v>
      </c>
      <c r="G20" s="1">
        <f t="shared" si="3"/>
        <v>8</v>
      </c>
      <c r="H20" s="1">
        <f t="shared" si="3"/>
        <v>13</v>
      </c>
      <c r="I20" s="1">
        <f t="shared" si="3"/>
        <v>13</v>
      </c>
      <c r="J20" s="1">
        <f t="shared" si="3"/>
        <v>4</v>
      </c>
      <c r="K20" s="1">
        <f t="shared" si="3"/>
        <v>8</v>
      </c>
      <c r="L20" s="1">
        <f t="shared" si="3"/>
        <v>13</v>
      </c>
      <c r="M20" s="1">
        <f t="shared" si="3"/>
        <v>4</v>
      </c>
      <c r="N20" s="1">
        <f t="shared" si="3"/>
        <v>4</v>
      </c>
      <c r="O20" s="1">
        <f t="shared" si="3"/>
        <v>13</v>
      </c>
      <c r="P20" s="1">
        <f t="shared" si="3"/>
        <v>4</v>
      </c>
      <c r="Q20" s="1">
        <f t="shared" si="3"/>
        <v>4</v>
      </c>
      <c r="R20" s="1">
        <f t="shared" si="3"/>
        <v>8</v>
      </c>
      <c r="S20" s="1"/>
      <c r="T20" s="1">
        <f t="shared" si="3"/>
        <v>4</v>
      </c>
      <c r="U20" s="1"/>
    </row>
    <row r="21" spans="5:6" ht="12.75">
      <c r="E21" s="62"/>
      <c r="F21" s="62"/>
    </row>
    <row r="22" spans="1:5" ht="12.75">
      <c r="A22" s="27"/>
      <c r="B22" s="192"/>
      <c r="E22" s="62"/>
    </row>
    <row r="28" ht="12.75">
      <c r="A28" s="27"/>
    </row>
    <row r="32" ht="12.75">
      <c r="A32" s="27"/>
    </row>
  </sheetData>
  <printOptions/>
  <pageMargins left="0.75" right="0.75" top="1" bottom="1" header="0.5" footer="0.5"/>
  <pageSetup fitToHeight="1" fitToWidth="1" horizontalDpi="300" verticalDpi="300" orientation="landscape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L24" sqref="L24"/>
    </sheetView>
  </sheetViews>
  <sheetFormatPr defaultColWidth="9.140625" defaultRowHeight="12.75"/>
  <cols>
    <col min="1" max="1" width="36.140625" style="0" customWidth="1"/>
    <col min="2" max="2" width="17.7109375" style="0" bestFit="1" customWidth="1"/>
    <col min="3" max="3" width="14.7109375" style="0" customWidth="1"/>
  </cols>
  <sheetData>
    <row r="1" spans="1:5" ht="18.75">
      <c r="A1" s="9" t="s">
        <v>136</v>
      </c>
      <c r="B1" s="7"/>
      <c r="C1" s="7"/>
      <c r="D1" s="7"/>
      <c r="E1" s="7"/>
    </row>
    <row r="2" spans="1:5" ht="12.75">
      <c r="A2" s="7"/>
      <c r="B2" s="12"/>
      <c r="C2" s="7"/>
      <c r="D2" s="7"/>
      <c r="E2" s="7"/>
    </row>
    <row r="3" spans="1:5" ht="12.75">
      <c r="A3" s="14"/>
      <c r="B3" s="18" t="s">
        <v>21</v>
      </c>
      <c r="C3" s="65" t="s">
        <v>17</v>
      </c>
      <c r="D3" s="7"/>
      <c r="E3" s="7"/>
    </row>
    <row r="4" spans="1:5" ht="12.75">
      <c r="A4" s="189" t="s">
        <v>112</v>
      </c>
      <c r="B4" s="162" t="s">
        <v>156</v>
      </c>
      <c r="C4" s="65">
        <f>IF(B4="fail",0,50)</f>
        <v>50</v>
      </c>
      <c r="D4" s="7"/>
      <c r="E4" s="7"/>
    </row>
    <row r="5" spans="1:5" ht="12.75">
      <c r="A5" s="189" t="s">
        <v>121</v>
      </c>
      <c r="B5" s="162" t="s">
        <v>88</v>
      </c>
      <c r="C5" s="65">
        <f aca="true" t="shared" si="0" ref="C5:C17">IF(B5="fail",0,50)</f>
        <v>50</v>
      </c>
      <c r="D5" s="7"/>
      <c r="E5" s="7"/>
    </row>
    <row r="6" spans="1:5" ht="12.75">
      <c r="A6" t="s">
        <v>149</v>
      </c>
      <c r="B6" s="162" t="s">
        <v>88</v>
      </c>
      <c r="C6" s="65">
        <f t="shared" si="0"/>
        <v>50</v>
      </c>
      <c r="D6" s="7"/>
      <c r="E6" s="7"/>
    </row>
    <row r="7" spans="1:5" ht="12.75">
      <c r="A7" s="189" t="s">
        <v>113</v>
      </c>
      <c r="B7" s="162" t="s">
        <v>88</v>
      </c>
      <c r="C7" s="65">
        <f t="shared" si="0"/>
        <v>50</v>
      </c>
      <c r="D7" s="7"/>
      <c r="E7" s="7"/>
    </row>
    <row r="8" spans="1:5" ht="12.75">
      <c r="A8" s="189" t="s">
        <v>114</v>
      </c>
      <c r="B8" s="162" t="s">
        <v>88</v>
      </c>
      <c r="C8" s="65">
        <f t="shared" si="0"/>
        <v>50</v>
      </c>
      <c r="D8" s="7"/>
      <c r="E8" s="7"/>
    </row>
    <row r="9" spans="1:5" ht="12.75">
      <c r="A9" s="189" t="s">
        <v>115</v>
      </c>
      <c r="B9" s="162" t="s">
        <v>88</v>
      </c>
      <c r="C9" s="65">
        <f t="shared" si="0"/>
        <v>50</v>
      </c>
      <c r="D9" s="7"/>
      <c r="E9" s="7"/>
    </row>
    <row r="10" spans="1:5" ht="12.75">
      <c r="A10" s="189" t="s">
        <v>116</v>
      </c>
      <c r="B10" s="162" t="s">
        <v>88</v>
      </c>
      <c r="C10" s="65">
        <f t="shared" si="0"/>
        <v>50</v>
      </c>
      <c r="D10" s="7"/>
      <c r="E10" s="7"/>
    </row>
    <row r="11" spans="1:5" ht="12.75">
      <c r="A11" s="189" t="s">
        <v>117</v>
      </c>
      <c r="B11" s="162" t="s">
        <v>88</v>
      </c>
      <c r="C11" s="65">
        <f t="shared" si="0"/>
        <v>50</v>
      </c>
      <c r="D11" s="7"/>
      <c r="E11" s="7"/>
    </row>
    <row r="12" spans="1:5" ht="12.75">
      <c r="A12" s="189" t="s">
        <v>122</v>
      </c>
      <c r="B12" s="162" t="s">
        <v>87</v>
      </c>
      <c r="C12" s="65">
        <f t="shared" si="0"/>
        <v>0</v>
      </c>
      <c r="D12" s="7"/>
      <c r="E12" s="7"/>
    </row>
    <row r="13" spans="1:5" ht="12.75">
      <c r="A13" s="189" t="s">
        <v>118</v>
      </c>
      <c r="B13" s="162" t="s">
        <v>88</v>
      </c>
      <c r="C13" s="65">
        <f t="shared" si="0"/>
        <v>50</v>
      </c>
      <c r="D13" s="7"/>
      <c r="E13" s="7"/>
    </row>
    <row r="14" spans="1:5" ht="12.75">
      <c r="A14" s="189" t="s">
        <v>111</v>
      </c>
      <c r="B14" s="162" t="s">
        <v>87</v>
      </c>
      <c r="C14" s="65">
        <f t="shared" si="0"/>
        <v>0</v>
      </c>
      <c r="D14" s="7"/>
      <c r="E14" s="7"/>
    </row>
    <row r="15" spans="1:5" ht="12.75">
      <c r="A15" s="189" t="s">
        <v>119</v>
      </c>
      <c r="B15" s="162" t="s">
        <v>88</v>
      </c>
      <c r="C15" s="65">
        <f t="shared" si="0"/>
        <v>50</v>
      </c>
      <c r="D15" s="7"/>
      <c r="E15" s="7"/>
    </row>
    <row r="16" spans="1:3" ht="12.75">
      <c r="A16" s="189" t="s">
        <v>120</v>
      </c>
      <c r="B16" s="162" t="s">
        <v>87</v>
      </c>
      <c r="C16" s="65">
        <f t="shared" si="0"/>
        <v>0</v>
      </c>
    </row>
    <row r="17" spans="1:3" ht="12.75">
      <c r="A17" s="189" t="s">
        <v>194</v>
      </c>
      <c r="B17" s="162" t="s">
        <v>88</v>
      </c>
      <c r="C17" s="65">
        <f t="shared" si="0"/>
        <v>50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workbookViewId="0" topLeftCell="A1">
      <selection activeCell="A17" sqref="A17"/>
    </sheetView>
  </sheetViews>
  <sheetFormatPr defaultColWidth="9.140625" defaultRowHeight="12.75"/>
  <cols>
    <col min="1" max="1" width="33.28125" style="0" customWidth="1"/>
    <col min="2" max="2" width="10.7109375" style="0" customWidth="1"/>
    <col min="4" max="4" width="11.57421875" style="0" customWidth="1"/>
    <col min="5" max="8" width="7.421875" style="0" customWidth="1"/>
    <col min="9" max="9" width="10.00390625" style="0" bestFit="1" customWidth="1"/>
    <col min="10" max="11" width="7.421875" style="0" customWidth="1"/>
    <col min="12" max="12" width="10.57421875" style="0" customWidth="1"/>
    <col min="13" max="13" width="8.28125" style="0" customWidth="1"/>
  </cols>
  <sheetData>
    <row r="1" spans="1:13" ht="18.75">
      <c r="A1" s="52" t="s">
        <v>145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2.75">
      <c r="A2" s="27"/>
      <c r="B2" s="8"/>
      <c r="C2" s="8"/>
      <c r="D2" s="8"/>
      <c r="E2" s="8"/>
      <c r="F2" s="8"/>
      <c r="G2" s="8"/>
      <c r="H2" s="8"/>
      <c r="I2" s="8"/>
      <c r="J2" s="8"/>
      <c r="K2" s="8"/>
      <c r="L2" s="49"/>
      <c r="M2" s="49"/>
    </row>
    <row r="3" spans="1:13" ht="38.25">
      <c r="A3" s="27"/>
      <c r="B3" s="190" t="s">
        <v>165</v>
      </c>
      <c r="C3" s="190" t="s">
        <v>166</v>
      </c>
      <c r="D3" s="190" t="s">
        <v>167</v>
      </c>
      <c r="E3" s="190" t="s">
        <v>168</v>
      </c>
      <c r="F3" s="190" t="s">
        <v>169</v>
      </c>
      <c r="G3" s="190" t="s">
        <v>170</v>
      </c>
      <c r="H3" s="190" t="s">
        <v>171</v>
      </c>
      <c r="I3" s="190" t="s">
        <v>172</v>
      </c>
      <c r="J3" s="190" t="s">
        <v>173</v>
      </c>
      <c r="K3" s="190" t="s">
        <v>174</v>
      </c>
      <c r="L3" s="50" t="s">
        <v>11</v>
      </c>
      <c r="M3" s="53" t="s">
        <v>40</v>
      </c>
    </row>
    <row r="4" spans="1:13" ht="12.75">
      <c r="A4" s="189" t="s">
        <v>112</v>
      </c>
      <c r="B4" s="54">
        <v>40</v>
      </c>
      <c r="C4" s="54">
        <v>44.5</v>
      </c>
      <c r="D4" s="54">
        <v>35</v>
      </c>
      <c r="E4" s="54">
        <v>40</v>
      </c>
      <c r="F4" s="54">
        <v>37</v>
      </c>
      <c r="G4" s="54">
        <v>41</v>
      </c>
      <c r="H4" s="54">
        <v>42</v>
      </c>
      <c r="I4" s="54">
        <v>36</v>
      </c>
      <c r="J4" s="54">
        <v>33</v>
      </c>
      <c r="K4" s="54">
        <v>41</v>
      </c>
      <c r="L4" s="51">
        <f>AVERAGE(B4:K4)</f>
        <v>38.95</v>
      </c>
      <c r="M4" s="55">
        <f>RANK(L4,$L$4:$L$18)</f>
        <v>4</v>
      </c>
    </row>
    <row r="5" spans="1:13" ht="12.75">
      <c r="A5" s="189" t="s">
        <v>121</v>
      </c>
      <c r="B5" s="54">
        <v>36</v>
      </c>
      <c r="C5" s="54">
        <v>39</v>
      </c>
      <c r="D5" s="54">
        <v>34</v>
      </c>
      <c r="E5" s="54">
        <v>34</v>
      </c>
      <c r="F5" s="54">
        <v>37</v>
      </c>
      <c r="G5" s="54">
        <v>31.5</v>
      </c>
      <c r="H5" s="54">
        <v>35.5</v>
      </c>
      <c r="I5" s="54">
        <v>33</v>
      </c>
      <c r="J5" s="54">
        <v>22.5</v>
      </c>
      <c r="K5" s="54">
        <v>37.5</v>
      </c>
      <c r="L5" s="51">
        <f>AVERAGE(B5:K5)</f>
        <v>34</v>
      </c>
      <c r="M5" s="55">
        <f aca="true" t="shared" si="0" ref="M5:M15">RANK(L5,$L$4:$L$18)</f>
        <v>11</v>
      </c>
    </row>
    <row r="6" spans="1:13" ht="12.75">
      <c r="A6" t="s">
        <v>149</v>
      </c>
      <c r="B6" s="54">
        <v>39</v>
      </c>
      <c r="C6" s="54">
        <v>36.5</v>
      </c>
      <c r="D6" s="54">
        <v>40</v>
      </c>
      <c r="E6" s="54">
        <v>45.5</v>
      </c>
      <c r="F6" s="54">
        <v>35.5</v>
      </c>
      <c r="G6" s="54">
        <v>26.5</v>
      </c>
      <c r="H6" s="54">
        <v>40.5</v>
      </c>
      <c r="I6" s="54">
        <v>35</v>
      </c>
      <c r="J6" s="54">
        <v>22.5</v>
      </c>
      <c r="K6" s="54">
        <v>38</v>
      </c>
      <c r="L6" s="51">
        <f>AVERAGE(B6:K6)</f>
        <v>35.9</v>
      </c>
      <c r="M6" s="55">
        <f t="shared" si="0"/>
        <v>7</v>
      </c>
    </row>
    <row r="7" spans="1:13" ht="12.75">
      <c r="A7" s="189" t="s">
        <v>113</v>
      </c>
      <c r="B7" s="54">
        <v>43</v>
      </c>
      <c r="C7" s="54">
        <v>40.5</v>
      </c>
      <c r="D7" s="54">
        <v>38.5</v>
      </c>
      <c r="E7" s="54">
        <v>34</v>
      </c>
      <c r="F7" s="54">
        <v>36</v>
      </c>
      <c r="G7" s="54">
        <v>43</v>
      </c>
      <c r="H7" s="54">
        <v>36.5</v>
      </c>
      <c r="I7" s="54">
        <v>31</v>
      </c>
      <c r="J7" s="54">
        <v>17</v>
      </c>
      <c r="K7" s="54">
        <v>37</v>
      </c>
      <c r="L7" s="51">
        <f>AVERAGE(B7:K7)</f>
        <v>35.65</v>
      </c>
      <c r="M7" s="55">
        <f t="shared" si="0"/>
        <v>8</v>
      </c>
    </row>
    <row r="8" spans="1:13" ht="12.75">
      <c r="A8" s="189" t="s">
        <v>114</v>
      </c>
      <c r="B8" s="54">
        <v>40.5</v>
      </c>
      <c r="C8" s="54">
        <v>41.5</v>
      </c>
      <c r="D8" s="54">
        <v>41</v>
      </c>
      <c r="E8" s="54">
        <v>47</v>
      </c>
      <c r="F8" s="54">
        <v>39</v>
      </c>
      <c r="G8" s="54">
        <v>44.5</v>
      </c>
      <c r="H8" s="54">
        <v>39</v>
      </c>
      <c r="I8" s="54">
        <v>42</v>
      </c>
      <c r="J8" s="54">
        <v>31</v>
      </c>
      <c r="K8" s="54">
        <v>41</v>
      </c>
      <c r="L8" s="51">
        <f>AVERAGE(B8:K8)</f>
        <v>40.65</v>
      </c>
      <c r="M8" s="55">
        <f t="shared" si="0"/>
        <v>3</v>
      </c>
    </row>
    <row r="9" spans="1:13" ht="12.75">
      <c r="A9" s="189" t="s">
        <v>115</v>
      </c>
      <c r="B9" s="54">
        <v>39</v>
      </c>
      <c r="C9" s="54">
        <v>43.5</v>
      </c>
      <c r="D9" s="54">
        <v>41.5</v>
      </c>
      <c r="E9" s="54">
        <v>40</v>
      </c>
      <c r="F9" s="54">
        <v>46</v>
      </c>
      <c r="G9" s="54">
        <v>47</v>
      </c>
      <c r="H9" s="54">
        <v>37.5</v>
      </c>
      <c r="I9" s="54">
        <v>41</v>
      </c>
      <c r="J9" s="54">
        <v>43.5</v>
      </c>
      <c r="K9" s="54">
        <v>38</v>
      </c>
      <c r="L9" s="51">
        <f>AVERAGE(B9:K9)</f>
        <v>41.7</v>
      </c>
      <c r="M9" s="55">
        <f t="shared" si="0"/>
        <v>2</v>
      </c>
    </row>
    <row r="10" spans="1:13" ht="25.5">
      <c r="A10" s="189" t="s">
        <v>116</v>
      </c>
      <c r="B10" s="54">
        <v>37</v>
      </c>
      <c r="C10" s="54">
        <v>44</v>
      </c>
      <c r="D10" s="54">
        <v>32.5</v>
      </c>
      <c r="E10" s="54">
        <v>33</v>
      </c>
      <c r="F10" s="54">
        <v>35</v>
      </c>
      <c r="G10" s="54">
        <v>42.5</v>
      </c>
      <c r="H10" s="54">
        <v>33</v>
      </c>
      <c r="I10" s="54">
        <v>34</v>
      </c>
      <c r="J10" s="54">
        <v>31</v>
      </c>
      <c r="K10" s="54">
        <v>39</v>
      </c>
      <c r="L10" s="51">
        <f>AVERAGE(B10:K10)</f>
        <v>36.1</v>
      </c>
      <c r="M10" s="55">
        <f t="shared" si="0"/>
        <v>6</v>
      </c>
    </row>
    <row r="11" spans="1:13" ht="12.75">
      <c r="A11" s="189" t="s">
        <v>117</v>
      </c>
      <c r="B11" s="54">
        <v>32</v>
      </c>
      <c r="C11" s="54">
        <v>33</v>
      </c>
      <c r="D11" s="54">
        <v>39</v>
      </c>
      <c r="E11" s="54">
        <v>36</v>
      </c>
      <c r="F11" s="54">
        <v>35</v>
      </c>
      <c r="G11" s="54">
        <v>36.5</v>
      </c>
      <c r="H11" s="54">
        <v>36</v>
      </c>
      <c r="I11" s="54">
        <v>34</v>
      </c>
      <c r="J11" s="54">
        <v>37</v>
      </c>
      <c r="K11" s="54">
        <v>31</v>
      </c>
      <c r="L11" s="51">
        <f>AVERAGE(B11:K11)</f>
        <v>34.95</v>
      </c>
      <c r="M11" s="55">
        <f t="shared" si="0"/>
        <v>10</v>
      </c>
    </row>
    <row r="12" spans="1:13" ht="12.75">
      <c r="A12" s="189" t="s">
        <v>122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1">
        <f>AVERAGE(B12:K12)</f>
        <v>0</v>
      </c>
      <c r="M12" s="55">
        <f t="shared" si="0"/>
        <v>13</v>
      </c>
    </row>
    <row r="13" spans="1:13" ht="12.75">
      <c r="A13" s="189" t="s">
        <v>118</v>
      </c>
      <c r="B13" s="54">
        <v>38.5</v>
      </c>
      <c r="C13" s="54">
        <v>41</v>
      </c>
      <c r="D13" s="54">
        <v>38</v>
      </c>
      <c r="E13" s="54">
        <v>34</v>
      </c>
      <c r="F13" s="54">
        <v>45.5</v>
      </c>
      <c r="G13" s="54">
        <v>38.5</v>
      </c>
      <c r="H13" s="54">
        <v>35.5</v>
      </c>
      <c r="I13" s="54">
        <v>33</v>
      </c>
      <c r="J13" s="54">
        <v>34.5</v>
      </c>
      <c r="K13" s="54">
        <v>43</v>
      </c>
      <c r="L13" s="51">
        <f>AVERAGE(B13:K13)</f>
        <v>38.15</v>
      </c>
      <c r="M13" s="55">
        <f t="shared" si="0"/>
        <v>5</v>
      </c>
    </row>
    <row r="14" spans="1:13" ht="12.75">
      <c r="A14" s="189" t="s">
        <v>111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1">
        <f>AVERAGE(B14:K14)</f>
        <v>0</v>
      </c>
      <c r="M14" s="55">
        <f t="shared" si="0"/>
        <v>13</v>
      </c>
    </row>
    <row r="15" spans="1:13" ht="12.75">
      <c r="A15" s="189" t="s">
        <v>119</v>
      </c>
      <c r="B15" s="54">
        <v>37.5</v>
      </c>
      <c r="C15" s="54">
        <v>41</v>
      </c>
      <c r="D15" s="54">
        <v>35.5</v>
      </c>
      <c r="E15" s="54">
        <v>35</v>
      </c>
      <c r="F15" s="54"/>
      <c r="G15" s="54"/>
      <c r="H15" s="54"/>
      <c r="I15" s="54"/>
      <c r="J15" s="54">
        <v>29</v>
      </c>
      <c r="K15" s="54"/>
      <c r="L15" s="51">
        <f>AVERAGE(B15:K15)</f>
        <v>35.6</v>
      </c>
      <c r="M15" s="55">
        <f t="shared" si="0"/>
        <v>9</v>
      </c>
    </row>
    <row r="16" spans="1:13" ht="12.75">
      <c r="A16" s="189" t="s">
        <v>120</v>
      </c>
      <c r="B16" s="54"/>
      <c r="C16" s="54">
        <v>40.5</v>
      </c>
      <c r="D16" s="54">
        <v>41</v>
      </c>
      <c r="E16" s="54">
        <v>18</v>
      </c>
      <c r="F16" s="54">
        <v>35.5</v>
      </c>
      <c r="G16" s="54">
        <v>29.5</v>
      </c>
      <c r="H16" s="54">
        <v>26.5</v>
      </c>
      <c r="I16" s="54"/>
      <c r="J16" s="54"/>
      <c r="K16" s="54">
        <v>32</v>
      </c>
      <c r="L16" s="51">
        <f>AVERAGE(B16:K16)</f>
        <v>31.857142857142858</v>
      </c>
      <c r="M16" s="55">
        <f>RANK(L16,$L$4:$L$16)</f>
        <v>11</v>
      </c>
    </row>
    <row r="17" spans="1:13" ht="12.75">
      <c r="A17" s="27" t="s">
        <v>194</v>
      </c>
      <c r="B17" s="46">
        <v>44.5</v>
      </c>
      <c r="C17" s="46">
        <v>49</v>
      </c>
      <c r="D17" s="46">
        <v>44.5</v>
      </c>
      <c r="E17" s="46">
        <v>47</v>
      </c>
      <c r="F17" s="46">
        <v>45.5</v>
      </c>
      <c r="G17" s="46">
        <v>45</v>
      </c>
      <c r="H17" s="46">
        <v>48</v>
      </c>
      <c r="I17" s="46">
        <v>45</v>
      </c>
      <c r="J17" s="46">
        <v>43.5</v>
      </c>
      <c r="K17" s="46">
        <v>47</v>
      </c>
      <c r="L17" s="51">
        <f>AVERAGE(B17:K17)</f>
        <v>45.9</v>
      </c>
      <c r="M17" s="55"/>
    </row>
    <row r="18" spans="1:13" ht="12.75">
      <c r="A18" s="27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51"/>
      <c r="M18" s="55"/>
    </row>
    <row r="19" spans="2:13" ht="12.75">
      <c r="B19" s="193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</row>
    <row r="20" spans="2:13" ht="12.75"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</row>
    <row r="21" spans="2:13" ht="12.75">
      <c r="B21" s="193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</row>
    <row r="33" ht="12.75">
      <c r="B33" s="196"/>
    </row>
    <row r="41" ht="12.75">
      <c r="B41" s="196"/>
    </row>
  </sheetData>
  <printOptions/>
  <pageMargins left="0.75" right="0.75" top="1" bottom="1" header="0.5" footer="0.5"/>
  <pageSetup fitToHeight="1" fitToWidth="1" orientation="landscape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1">
      <selection activeCell="A19" sqref="A19"/>
    </sheetView>
  </sheetViews>
  <sheetFormatPr defaultColWidth="9.140625" defaultRowHeight="12.75"/>
  <cols>
    <col min="1" max="1" width="35.00390625" style="0" customWidth="1"/>
    <col min="2" max="2" width="10.00390625" style="0" customWidth="1"/>
    <col min="3" max="3" width="10.28125" style="0" customWidth="1"/>
    <col min="4" max="4" width="13.421875" style="0" customWidth="1"/>
    <col min="5" max="5" width="10.140625" style="0" customWidth="1"/>
    <col min="6" max="6" width="10.00390625" style="0" customWidth="1"/>
    <col min="7" max="7" width="11.00390625" style="0" customWidth="1"/>
    <col min="8" max="8" width="9.421875" style="0" customWidth="1"/>
    <col min="9" max="10" width="10.00390625" style="0" customWidth="1"/>
  </cols>
  <sheetData>
    <row r="1" spans="1:12" ht="18.75">
      <c r="A1" s="9" t="s">
        <v>138</v>
      </c>
      <c r="B1" s="7"/>
      <c r="C1" s="7"/>
      <c r="D1" s="7"/>
      <c r="E1" s="7"/>
      <c r="F1" s="7"/>
      <c r="G1" s="7"/>
      <c r="H1" s="7"/>
      <c r="I1" s="11"/>
      <c r="J1" s="7"/>
      <c r="K1" s="7"/>
      <c r="L1" s="7"/>
    </row>
    <row r="2" spans="1:12" ht="12.75">
      <c r="A2" s="44"/>
      <c r="B2" s="7"/>
      <c r="D2" s="11" t="s">
        <v>57</v>
      </c>
      <c r="E2" s="7">
        <f>MAX(D6:D18)</f>
        <v>67.7</v>
      </c>
      <c r="F2" s="7" t="s">
        <v>20</v>
      </c>
      <c r="G2" s="7"/>
      <c r="H2" s="7"/>
      <c r="I2" s="11"/>
      <c r="J2" s="7"/>
      <c r="K2" s="7"/>
      <c r="L2" s="7"/>
    </row>
    <row r="3" spans="1:12" ht="12.75">
      <c r="A3" s="10"/>
      <c r="B3" s="7"/>
      <c r="D3" s="11" t="s">
        <v>58</v>
      </c>
      <c r="E3" s="7">
        <f>MIN(D6:D18)</f>
        <v>39.5</v>
      </c>
      <c r="F3" s="7" t="s">
        <v>20</v>
      </c>
      <c r="G3" s="7"/>
      <c r="H3" s="7"/>
      <c r="I3" s="11"/>
      <c r="J3" s="7"/>
      <c r="K3" s="7"/>
      <c r="L3" s="7"/>
    </row>
    <row r="4" spans="1:12" ht="12.75">
      <c r="A4" s="19"/>
      <c r="B4" s="19"/>
      <c r="C4" s="19"/>
      <c r="D4" s="19"/>
      <c r="E4" s="7"/>
      <c r="F4" s="19"/>
      <c r="G4" s="19"/>
      <c r="H4" s="19"/>
      <c r="I4" s="29"/>
      <c r="J4" s="7"/>
      <c r="K4" s="7"/>
      <c r="L4" s="7"/>
    </row>
    <row r="5" spans="1:12" ht="30.75" customHeight="1">
      <c r="A5" s="96"/>
      <c r="B5" s="45" t="s">
        <v>54</v>
      </c>
      <c r="C5" s="45" t="s">
        <v>55</v>
      </c>
      <c r="D5" s="45" t="s">
        <v>56</v>
      </c>
      <c r="E5" s="45" t="s">
        <v>11</v>
      </c>
      <c r="F5" s="28" t="s">
        <v>40</v>
      </c>
      <c r="G5" s="28"/>
      <c r="H5" s="28"/>
      <c r="I5" s="17"/>
      <c r="J5" s="15"/>
      <c r="K5" s="6"/>
      <c r="L5" s="7"/>
    </row>
    <row r="6" spans="1:12" ht="12.75">
      <c r="A6" s="189" t="s">
        <v>112</v>
      </c>
      <c r="B6" s="198">
        <v>50.3</v>
      </c>
      <c r="C6" s="198">
        <v>43.1</v>
      </c>
      <c r="D6" s="151">
        <f aca="true" t="shared" si="0" ref="D6:D18">MIN(B6:C6)</f>
        <v>43.1</v>
      </c>
      <c r="E6" s="70">
        <f>75*(($E$2/D6)^2-1)/(($E$2/$E$3)^2-1)</f>
        <v>56.797848915375155</v>
      </c>
      <c r="F6" s="22">
        <f aca="true" t="shared" si="1" ref="F6:F18">RANK(E6,$E$6:$E$18)</f>
        <v>8</v>
      </c>
      <c r="G6" s="60"/>
      <c r="H6" s="60"/>
      <c r="I6" s="31"/>
      <c r="J6" s="32"/>
      <c r="K6" s="22"/>
      <c r="L6" s="7"/>
    </row>
    <row r="7" spans="1:12" ht="12.75">
      <c r="A7" s="189" t="s">
        <v>121</v>
      </c>
      <c r="B7" s="158">
        <v>40.6</v>
      </c>
      <c r="C7" s="158">
        <v>41</v>
      </c>
      <c r="D7" s="151">
        <f t="shared" si="0"/>
        <v>40.6</v>
      </c>
      <c r="E7" s="70">
        <f>75*(($E$2/D7)^2-1)/(($E$2/$E$3)^2-1)</f>
        <v>68.92189999808242</v>
      </c>
      <c r="F7" s="22">
        <f t="shared" si="1"/>
        <v>4</v>
      </c>
      <c r="G7" s="95"/>
      <c r="H7" s="95"/>
      <c r="I7" s="31"/>
      <c r="J7" s="32"/>
      <c r="K7" s="22"/>
      <c r="L7" s="7"/>
    </row>
    <row r="8" spans="1:12" ht="12.75">
      <c r="A8" t="s">
        <v>149</v>
      </c>
      <c r="B8" s="168">
        <v>40.3</v>
      </c>
      <c r="C8" s="168">
        <v>45.7</v>
      </c>
      <c r="D8" s="151">
        <f t="shared" si="0"/>
        <v>40.3</v>
      </c>
      <c r="E8" s="70">
        <f>75*(($E$2/D8)^2-1)/(($E$2/$E$3)^2-1)</f>
        <v>70.53030907460365</v>
      </c>
      <c r="F8" s="22">
        <f t="shared" si="1"/>
        <v>3</v>
      </c>
      <c r="G8" s="60"/>
      <c r="H8" s="60"/>
      <c r="I8" s="31"/>
      <c r="J8" s="32"/>
      <c r="K8" s="22"/>
      <c r="L8" s="7"/>
    </row>
    <row r="9" spans="1:12" ht="12.75">
      <c r="A9" s="189" t="s">
        <v>113</v>
      </c>
      <c r="B9" s="158">
        <v>42.4</v>
      </c>
      <c r="C9" s="158">
        <v>42.7</v>
      </c>
      <c r="D9" s="151">
        <f t="shared" si="0"/>
        <v>42.4</v>
      </c>
      <c r="E9" s="70">
        <f>75*(($E$2/D9)^2-1)/(($E$2/$E$3)^2-1)</f>
        <v>59.97740726669739</v>
      </c>
      <c r="F9" s="22">
        <f t="shared" si="1"/>
        <v>5</v>
      </c>
      <c r="G9" s="60"/>
      <c r="H9" s="95"/>
      <c r="I9" s="31"/>
      <c r="J9" s="32"/>
      <c r="K9" s="22"/>
      <c r="L9" s="7"/>
    </row>
    <row r="10" spans="1:12" ht="12.75">
      <c r="A10" s="189" t="s">
        <v>114</v>
      </c>
      <c r="B10" s="158">
        <v>42.4</v>
      </c>
      <c r="C10" s="168">
        <v>43.3</v>
      </c>
      <c r="D10" s="151">
        <f t="shared" si="0"/>
        <v>42.4</v>
      </c>
      <c r="E10" s="70">
        <f>75*(($E$2/D10)^2-1)/(($E$2/$E$3)^2-1)</f>
        <v>59.97740726669739</v>
      </c>
      <c r="F10" s="22">
        <f t="shared" si="1"/>
        <v>5</v>
      </c>
      <c r="G10" s="60"/>
      <c r="H10" s="60"/>
      <c r="I10" s="31"/>
      <c r="J10" s="32"/>
      <c r="K10" s="22"/>
      <c r="L10" s="7"/>
    </row>
    <row r="11" spans="1:12" ht="12.75">
      <c r="A11" s="189" t="s">
        <v>115</v>
      </c>
      <c r="B11" s="158">
        <v>39.5</v>
      </c>
      <c r="C11" s="158">
        <v>39.5</v>
      </c>
      <c r="D11" s="151">
        <f t="shared" si="0"/>
        <v>39.5</v>
      </c>
      <c r="E11" s="70">
        <f>75*(($E$2/D11)^2-1)/(($E$2/$E$3)^2-1)</f>
        <v>75</v>
      </c>
      <c r="F11" s="22">
        <f t="shared" si="1"/>
        <v>1</v>
      </c>
      <c r="G11" s="60"/>
      <c r="H11" s="60"/>
      <c r="I11" s="31"/>
      <c r="J11" s="32"/>
      <c r="K11" s="22"/>
      <c r="L11" s="7"/>
    </row>
    <row r="12" spans="1:12" ht="25.5">
      <c r="A12" s="189" t="s">
        <v>116</v>
      </c>
      <c r="B12" s="158">
        <v>40.1</v>
      </c>
      <c r="C12" s="158">
        <v>46.5</v>
      </c>
      <c r="D12" s="151">
        <f>MIN(B12:C12)</f>
        <v>40.1</v>
      </c>
      <c r="E12" s="70">
        <f>75*(($E$2/D12)^2-1)/(($E$2/$E$3)^2-1)</f>
        <v>71.62269502338137</v>
      </c>
      <c r="F12" s="22">
        <f t="shared" si="1"/>
        <v>2</v>
      </c>
      <c r="G12" s="60"/>
      <c r="H12" s="60"/>
      <c r="I12" s="31"/>
      <c r="J12" s="32"/>
      <c r="K12" s="22"/>
      <c r="L12" s="7"/>
    </row>
    <row r="13" spans="1:12" ht="12.75">
      <c r="A13" s="189" t="s">
        <v>117</v>
      </c>
      <c r="B13" s="158">
        <v>50.6</v>
      </c>
      <c r="C13" s="158">
        <v>43</v>
      </c>
      <c r="D13" s="151">
        <f>MIN(B13:C13)</f>
        <v>43</v>
      </c>
      <c r="E13" s="70">
        <f>75*(($E$2/D13)^2-1)/(($E$2/$E$3)^2-1)</f>
        <v>57.24258318745888</v>
      </c>
      <c r="F13" s="22">
        <f t="shared" si="1"/>
        <v>7</v>
      </c>
      <c r="G13" s="60"/>
      <c r="H13" s="60"/>
      <c r="I13" s="31"/>
      <c r="J13" s="32"/>
      <c r="K13" s="22"/>
      <c r="L13" s="7"/>
    </row>
    <row r="14" spans="1:12" ht="12.75">
      <c r="A14" s="189" t="s">
        <v>122</v>
      </c>
      <c r="B14" s="158" t="s">
        <v>74</v>
      </c>
      <c r="C14" s="158" t="s">
        <v>74</v>
      </c>
      <c r="D14" s="151"/>
      <c r="E14" s="70">
        <v>0</v>
      </c>
      <c r="F14" s="22">
        <f t="shared" si="1"/>
        <v>9</v>
      </c>
      <c r="G14" s="60"/>
      <c r="H14" s="60"/>
      <c r="I14" s="31"/>
      <c r="J14" s="32"/>
      <c r="K14" s="22"/>
      <c r="L14" s="7"/>
    </row>
    <row r="15" spans="1:12" ht="12.75">
      <c r="A15" s="189" t="s">
        <v>118</v>
      </c>
      <c r="B15" s="158" t="s">
        <v>74</v>
      </c>
      <c r="C15" s="158" t="s">
        <v>74</v>
      </c>
      <c r="D15" s="151"/>
      <c r="E15" s="70">
        <v>0</v>
      </c>
      <c r="F15" s="22">
        <f t="shared" si="1"/>
        <v>9</v>
      </c>
      <c r="G15" s="60"/>
      <c r="H15" s="60"/>
      <c r="I15" s="31"/>
      <c r="J15" s="32"/>
      <c r="K15" s="22"/>
      <c r="L15" s="7"/>
    </row>
    <row r="16" spans="1:12" ht="12.75">
      <c r="A16" s="189" t="s">
        <v>111</v>
      </c>
      <c r="B16" s="158" t="s">
        <v>74</v>
      </c>
      <c r="C16" s="158" t="s">
        <v>74</v>
      </c>
      <c r="D16" s="151"/>
      <c r="E16" s="70">
        <v>0</v>
      </c>
      <c r="F16" s="22">
        <f t="shared" si="1"/>
        <v>9</v>
      </c>
      <c r="G16" s="60"/>
      <c r="H16" s="60"/>
      <c r="I16" s="31"/>
      <c r="J16" s="32"/>
      <c r="K16" s="22"/>
      <c r="L16" s="7"/>
    </row>
    <row r="17" spans="1:12" ht="12.75">
      <c r="A17" s="189" t="s">
        <v>119</v>
      </c>
      <c r="B17" s="158">
        <v>43.8</v>
      </c>
      <c r="C17" s="158">
        <v>41.4</v>
      </c>
      <c r="D17" s="151">
        <f t="shared" si="0"/>
        <v>41.4</v>
      </c>
      <c r="E17" s="70">
        <v>0</v>
      </c>
      <c r="F17" s="22">
        <f t="shared" si="1"/>
        <v>9</v>
      </c>
      <c r="G17" s="60"/>
      <c r="H17" s="60"/>
      <c r="I17" s="31"/>
      <c r="J17" s="32"/>
      <c r="K17" s="22"/>
      <c r="L17" s="7"/>
    </row>
    <row r="18" spans="1:12" ht="12.75">
      <c r="A18" s="189" t="s">
        <v>120</v>
      </c>
      <c r="B18" s="158">
        <v>67.7</v>
      </c>
      <c r="C18" s="158" t="s">
        <v>74</v>
      </c>
      <c r="D18" s="151">
        <f t="shared" si="0"/>
        <v>67.7</v>
      </c>
      <c r="E18" s="70">
        <v>0</v>
      </c>
      <c r="F18" s="22">
        <f t="shared" si="1"/>
        <v>9</v>
      </c>
      <c r="G18" s="29"/>
      <c r="H18" s="29"/>
      <c r="I18" s="29"/>
      <c r="J18" s="7"/>
      <c r="K18" s="7"/>
      <c r="L18" s="7"/>
    </row>
    <row r="19" spans="1:12" ht="12.75">
      <c r="A19" s="29" t="s">
        <v>192</v>
      </c>
      <c r="B19" s="177">
        <v>40.6</v>
      </c>
      <c r="C19" s="177">
        <v>47.5</v>
      </c>
      <c r="D19" s="151">
        <f>MIN(B19:C19)</f>
        <v>40.6</v>
      </c>
      <c r="E19" s="70">
        <f>75*(($E$2/D19)^2-1)/(($E$2/$E$3)^2-1)</f>
        <v>68.92189999808242</v>
      </c>
      <c r="F19" s="22"/>
      <c r="G19" s="7"/>
      <c r="H19" s="7"/>
      <c r="I19" s="7"/>
      <c r="J19" s="7"/>
      <c r="K19" s="7"/>
      <c r="L19" s="7"/>
    </row>
    <row r="20" spans="1:12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</sheetData>
  <printOptions/>
  <pageMargins left="0.75" right="0.75" top="1" bottom="1" header="0.5" footer="0.5"/>
  <pageSetup fitToHeight="1" fitToWidth="1" horizontalDpi="300" verticalDpi="300" orientation="landscape" r:id="rId1"/>
  <ignoredErrors>
    <ignoredError sqref="D6:D13 D17:D19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90" zoomScaleNormal="90" workbookViewId="0" topLeftCell="A1">
      <selection activeCell="J15" sqref="J15"/>
    </sheetView>
  </sheetViews>
  <sheetFormatPr defaultColWidth="9.140625" defaultRowHeight="12.75"/>
  <cols>
    <col min="1" max="1" width="35.7109375" style="0" customWidth="1"/>
    <col min="2" max="2" width="15.421875" style="0" customWidth="1"/>
    <col min="3" max="5" width="14.00390625" style="0" customWidth="1"/>
    <col min="6" max="6" width="18.7109375" style="0" customWidth="1"/>
    <col min="7" max="7" width="16.140625" style="0" customWidth="1"/>
    <col min="8" max="8" width="14.421875" style="0" customWidth="1"/>
    <col min="9" max="9" width="18.00390625" style="0" customWidth="1"/>
  </cols>
  <sheetData>
    <row r="1" spans="1:10" ht="18.75">
      <c r="A1" s="9" t="s">
        <v>146</v>
      </c>
      <c r="B1" s="9"/>
      <c r="C1" s="7"/>
      <c r="D1" s="7"/>
      <c r="E1" s="7"/>
      <c r="F1" s="7"/>
      <c r="G1" s="7"/>
      <c r="H1" s="7"/>
      <c r="I1" s="7"/>
      <c r="J1" s="7"/>
    </row>
    <row r="2" spans="1:10" ht="12.75">
      <c r="A2" s="29"/>
      <c r="B2" s="29"/>
      <c r="C2" s="29"/>
      <c r="D2" s="29"/>
      <c r="E2" s="29"/>
      <c r="F2" s="29"/>
      <c r="G2" s="29"/>
      <c r="H2" s="29"/>
      <c r="I2" s="7"/>
      <c r="J2" s="7"/>
    </row>
    <row r="3" spans="1:10" ht="25.5">
      <c r="A3" s="29"/>
      <c r="B3" s="28" t="s">
        <v>76</v>
      </c>
      <c r="C3" s="28" t="s">
        <v>8</v>
      </c>
      <c r="D3" s="28" t="s">
        <v>147</v>
      </c>
      <c r="E3" s="45" t="s">
        <v>148</v>
      </c>
      <c r="F3" s="28" t="s">
        <v>9</v>
      </c>
      <c r="G3" s="28" t="s">
        <v>10</v>
      </c>
      <c r="H3" s="28" t="s">
        <v>16</v>
      </c>
      <c r="I3" s="6" t="s">
        <v>17</v>
      </c>
      <c r="J3" s="7"/>
    </row>
    <row r="4" spans="1:10" ht="12.75">
      <c r="A4" s="189" t="s">
        <v>112</v>
      </c>
      <c r="B4" s="161"/>
      <c r="C4" s="68">
        <v>0</v>
      </c>
      <c r="D4" s="68">
        <v>0</v>
      </c>
      <c r="E4" s="68">
        <v>0</v>
      </c>
      <c r="F4" s="68"/>
      <c r="G4" s="68"/>
      <c r="H4" s="68">
        <v>0</v>
      </c>
      <c r="I4" s="67">
        <f aca="true" t="shared" si="0" ref="I4:I16">SUM(B4:H4)</f>
        <v>0</v>
      </c>
      <c r="J4" s="7"/>
    </row>
    <row r="5" spans="1:10" ht="12.75">
      <c r="A5" s="189" t="s">
        <v>121</v>
      </c>
      <c r="B5" s="161"/>
      <c r="C5" s="68">
        <v>0</v>
      </c>
      <c r="D5" s="68">
        <v>0</v>
      </c>
      <c r="E5" s="68">
        <v>0</v>
      </c>
      <c r="F5" s="68"/>
      <c r="G5" s="68"/>
      <c r="H5" s="68">
        <v>0</v>
      </c>
      <c r="I5" s="67">
        <f t="shared" si="0"/>
        <v>0</v>
      </c>
      <c r="J5" s="7"/>
    </row>
    <row r="6" spans="1:10" ht="12.75">
      <c r="A6" t="s">
        <v>149</v>
      </c>
      <c r="B6" s="161"/>
      <c r="C6" s="68">
        <v>0</v>
      </c>
      <c r="D6" s="68">
        <v>0</v>
      </c>
      <c r="E6" s="68">
        <v>0</v>
      </c>
      <c r="F6" s="68"/>
      <c r="G6" s="68"/>
      <c r="H6" s="68">
        <v>0</v>
      </c>
      <c r="I6" s="67">
        <f t="shared" si="0"/>
        <v>0</v>
      </c>
      <c r="J6" s="7"/>
    </row>
    <row r="7" spans="1:10" ht="12.75">
      <c r="A7" s="189" t="s">
        <v>113</v>
      </c>
      <c r="B7" s="161"/>
      <c r="C7" s="68">
        <v>0</v>
      </c>
      <c r="D7" s="68">
        <v>0</v>
      </c>
      <c r="E7" s="68">
        <v>0</v>
      </c>
      <c r="F7" s="68"/>
      <c r="G7" s="68"/>
      <c r="H7" s="68">
        <v>0</v>
      </c>
      <c r="I7" s="67">
        <f t="shared" si="0"/>
        <v>0</v>
      </c>
      <c r="J7" s="7"/>
    </row>
    <row r="8" spans="1:10" ht="12.75">
      <c r="A8" s="189" t="s">
        <v>114</v>
      </c>
      <c r="B8" s="161"/>
      <c r="C8" s="68">
        <v>0</v>
      </c>
      <c r="D8" s="68">
        <v>0</v>
      </c>
      <c r="E8" s="68">
        <v>0</v>
      </c>
      <c r="F8" s="68"/>
      <c r="G8" s="68"/>
      <c r="H8" s="68">
        <v>0</v>
      </c>
      <c r="I8" s="67">
        <f t="shared" si="0"/>
        <v>0</v>
      </c>
      <c r="J8" s="7"/>
    </row>
    <row r="9" spans="1:10" ht="12.75">
      <c r="A9" s="189" t="s">
        <v>115</v>
      </c>
      <c r="B9" s="161"/>
      <c r="C9" s="68">
        <v>0</v>
      </c>
      <c r="D9" s="68">
        <v>0</v>
      </c>
      <c r="E9" s="68">
        <v>0</v>
      </c>
      <c r="F9" s="68"/>
      <c r="G9" s="68"/>
      <c r="H9" s="68">
        <v>0</v>
      </c>
      <c r="I9" s="67">
        <f t="shared" si="0"/>
        <v>0</v>
      </c>
      <c r="J9" s="7"/>
    </row>
    <row r="10" spans="1:10" ht="12.75">
      <c r="A10" s="189" t="s">
        <v>116</v>
      </c>
      <c r="B10" s="161"/>
      <c r="C10" s="197">
        <v>10</v>
      </c>
      <c r="D10" s="197">
        <v>10</v>
      </c>
      <c r="E10" s="68">
        <v>0</v>
      </c>
      <c r="F10" s="68"/>
      <c r="G10" s="68"/>
      <c r="H10" s="68">
        <v>0</v>
      </c>
      <c r="I10" s="67">
        <f t="shared" si="0"/>
        <v>20</v>
      </c>
      <c r="J10" s="7" t="s">
        <v>183</v>
      </c>
    </row>
    <row r="11" spans="1:10" ht="12.75">
      <c r="A11" s="189" t="s">
        <v>117</v>
      </c>
      <c r="B11" s="161"/>
      <c r="C11" s="68">
        <v>0</v>
      </c>
      <c r="D11" s="68">
        <v>0</v>
      </c>
      <c r="E11" s="68">
        <v>0</v>
      </c>
      <c r="F11" s="68"/>
      <c r="G11" s="68"/>
      <c r="H11" s="68">
        <v>0</v>
      </c>
      <c r="I11" s="67">
        <f t="shared" si="0"/>
        <v>0</v>
      </c>
      <c r="J11" s="7"/>
    </row>
    <row r="12" spans="1:10" ht="12.75">
      <c r="A12" s="189" t="s">
        <v>122</v>
      </c>
      <c r="B12" s="161"/>
      <c r="C12" s="68">
        <v>0</v>
      </c>
      <c r="D12" s="68">
        <v>0</v>
      </c>
      <c r="E12" s="68">
        <v>0</v>
      </c>
      <c r="F12" s="68"/>
      <c r="G12" s="68">
        <v>25</v>
      </c>
      <c r="H12" s="68">
        <v>0</v>
      </c>
      <c r="I12" s="67">
        <f t="shared" si="0"/>
        <v>25</v>
      </c>
      <c r="J12" s="7" t="s">
        <v>182</v>
      </c>
    </row>
    <row r="13" spans="1:10" ht="12.75">
      <c r="A13" s="189" t="s">
        <v>118</v>
      </c>
      <c r="B13" s="161"/>
      <c r="C13" s="68">
        <v>0</v>
      </c>
      <c r="D13" s="68">
        <v>0</v>
      </c>
      <c r="E13" s="68">
        <v>0</v>
      </c>
      <c r="F13" s="68"/>
      <c r="G13" s="68">
        <v>10</v>
      </c>
      <c r="H13" s="68">
        <v>0</v>
      </c>
      <c r="I13" s="67">
        <f t="shared" si="0"/>
        <v>10</v>
      </c>
      <c r="J13" s="7" t="s">
        <v>181</v>
      </c>
    </row>
    <row r="14" spans="1:10" ht="12.75">
      <c r="A14" s="189" t="s">
        <v>111</v>
      </c>
      <c r="B14" s="161"/>
      <c r="C14" s="68">
        <v>0</v>
      </c>
      <c r="D14" s="68">
        <v>0</v>
      </c>
      <c r="E14" s="197">
        <v>10</v>
      </c>
      <c r="F14" s="68"/>
      <c r="G14" s="68"/>
      <c r="H14" s="68">
        <v>0</v>
      </c>
      <c r="I14" s="67">
        <f t="shared" si="0"/>
        <v>10</v>
      </c>
      <c r="J14" s="7" t="s">
        <v>184</v>
      </c>
    </row>
    <row r="15" spans="1:10" ht="12.75">
      <c r="A15" s="189" t="s">
        <v>119</v>
      </c>
      <c r="B15" s="161">
        <v>10</v>
      </c>
      <c r="C15" s="68">
        <v>0</v>
      </c>
      <c r="D15" s="68">
        <v>0</v>
      </c>
      <c r="E15" s="68">
        <v>0</v>
      </c>
      <c r="F15" s="68"/>
      <c r="G15" s="68"/>
      <c r="H15" s="68">
        <v>0</v>
      </c>
      <c r="I15" s="67">
        <f t="shared" si="0"/>
        <v>10</v>
      </c>
      <c r="J15" s="7" t="s">
        <v>185</v>
      </c>
    </row>
    <row r="16" spans="1:10" ht="12.75">
      <c r="A16" s="189" t="s">
        <v>120</v>
      </c>
      <c r="B16" s="161"/>
      <c r="C16" s="68">
        <v>0</v>
      </c>
      <c r="D16" s="68">
        <v>0</v>
      </c>
      <c r="E16" s="68">
        <v>0</v>
      </c>
      <c r="F16" s="68"/>
      <c r="G16" s="68"/>
      <c r="H16" s="68">
        <v>0</v>
      </c>
      <c r="I16" s="67">
        <f t="shared" si="0"/>
        <v>0</v>
      </c>
      <c r="J16" s="7"/>
    </row>
    <row r="17" spans="1:10" ht="12.75">
      <c r="A17" s="27"/>
      <c r="B17" s="27"/>
      <c r="C17" s="57"/>
      <c r="D17" s="57"/>
      <c r="E17" s="57"/>
      <c r="F17" s="46"/>
      <c r="G17" s="60"/>
      <c r="H17" s="29"/>
      <c r="I17" s="7"/>
      <c r="J17" s="7"/>
    </row>
    <row r="18" spans="1:10" ht="15">
      <c r="A18" s="27"/>
      <c r="B18" s="27"/>
      <c r="C18" s="57"/>
      <c r="D18" s="57"/>
      <c r="E18" s="57"/>
      <c r="F18" s="46"/>
      <c r="G18" s="60"/>
      <c r="H18" s="34"/>
      <c r="I18" s="7"/>
      <c r="J18" s="7"/>
    </row>
    <row r="19" spans="1:10" ht="15">
      <c r="A19" s="27"/>
      <c r="B19" s="27"/>
      <c r="C19" s="57"/>
      <c r="D19" s="57"/>
      <c r="E19" s="57"/>
      <c r="F19" s="46"/>
      <c r="G19" s="60"/>
      <c r="H19" s="34"/>
      <c r="I19" s="7"/>
      <c r="J19" s="7"/>
    </row>
    <row r="20" spans="1:10" ht="15">
      <c r="A20" s="27"/>
      <c r="B20" s="27"/>
      <c r="C20" s="57"/>
      <c r="D20" s="57"/>
      <c r="E20" s="57"/>
      <c r="F20" s="46"/>
      <c r="G20" s="60"/>
      <c r="H20" s="34"/>
      <c r="I20" s="7"/>
      <c r="J20" s="7"/>
    </row>
    <row r="21" spans="1:10" ht="15">
      <c r="A21" s="27"/>
      <c r="B21" s="27"/>
      <c r="C21" s="57"/>
      <c r="D21" s="57"/>
      <c r="E21" s="57"/>
      <c r="F21" s="46"/>
      <c r="G21" s="60"/>
      <c r="H21" s="34"/>
      <c r="I21" s="7"/>
      <c r="J21" s="7"/>
    </row>
    <row r="22" spans="1:10" ht="15">
      <c r="A22" s="27"/>
      <c r="B22" s="27"/>
      <c r="C22" s="57"/>
      <c r="D22" s="57"/>
      <c r="E22" s="57"/>
      <c r="F22" s="46"/>
      <c r="G22" s="60"/>
      <c r="H22" s="34"/>
      <c r="I22" s="7"/>
      <c r="J22" s="7"/>
    </row>
    <row r="23" spans="1:10" ht="15">
      <c r="A23" s="27"/>
      <c r="B23" s="27"/>
      <c r="C23" s="57"/>
      <c r="D23" s="57"/>
      <c r="E23" s="57"/>
      <c r="F23" s="46"/>
      <c r="G23" s="60"/>
      <c r="H23" s="34"/>
      <c r="I23" s="7"/>
      <c r="J23" s="7"/>
    </row>
    <row r="24" spans="1:10" ht="15">
      <c r="A24" s="27"/>
      <c r="B24" s="27"/>
      <c r="C24" s="57"/>
      <c r="D24" s="57"/>
      <c r="E24" s="57"/>
      <c r="F24" s="46"/>
      <c r="G24" s="60"/>
      <c r="H24" s="34"/>
      <c r="I24" s="7"/>
      <c r="J24" s="7"/>
    </row>
    <row r="25" spans="1:10" ht="15">
      <c r="A25" s="27"/>
      <c r="B25" s="27"/>
      <c r="C25" s="57"/>
      <c r="D25" s="57"/>
      <c r="E25" s="57"/>
      <c r="F25" s="46"/>
      <c r="G25" s="60"/>
      <c r="H25" s="34"/>
      <c r="I25" s="7"/>
      <c r="J25" s="7"/>
    </row>
    <row r="26" spans="1:10" ht="15">
      <c r="A26" s="27"/>
      <c r="B26" s="27"/>
      <c r="C26" s="57"/>
      <c r="D26" s="57"/>
      <c r="E26" s="57"/>
      <c r="F26" s="46"/>
      <c r="G26" s="60"/>
      <c r="H26" s="34"/>
      <c r="I26" s="7"/>
      <c r="J26" s="7"/>
    </row>
    <row r="27" spans="1:10" ht="15">
      <c r="A27" s="27"/>
      <c r="B27" s="27"/>
      <c r="C27" s="57"/>
      <c r="D27" s="57"/>
      <c r="E27" s="57"/>
      <c r="F27" s="46"/>
      <c r="G27" s="60"/>
      <c r="H27" s="34"/>
      <c r="I27" s="7"/>
      <c r="J27" s="7"/>
    </row>
    <row r="28" spans="1:10" ht="12.75">
      <c r="A28" s="27"/>
      <c r="B28" s="27"/>
      <c r="C28" s="57"/>
      <c r="D28" s="57"/>
      <c r="E28" s="57"/>
      <c r="F28" s="46"/>
      <c r="G28" s="60"/>
      <c r="H28" s="29"/>
      <c r="I28" s="7"/>
      <c r="J28" s="7"/>
    </row>
    <row r="29" spans="1:10" ht="15">
      <c r="A29" s="27"/>
      <c r="B29" s="27"/>
      <c r="C29" s="57"/>
      <c r="D29" s="57"/>
      <c r="E29" s="57"/>
      <c r="F29" s="46"/>
      <c r="G29" s="60"/>
      <c r="H29" s="34"/>
      <c r="I29" s="7"/>
      <c r="J29" s="7"/>
    </row>
    <row r="30" spans="1:8" ht="12.75">
      <c r="A30" s="27"/>
      <c r="B30" s="27"/>
      <c r="C30" s="58"/>
      <c r="D30" s="58"/>
      <c r="E30" s="58"/>
      <c r="F30" s="46"/>
      <c r="G30" s="60"/>
      <c r="H30" s="1"/>
    </row>
    <row r="31" spans="1:8" ht="12.75">
      <c r="A31" s="1"/>
      <c r="B31" s="1"/>
      <c r="C31" s="1"/>
      <c r="D31" s="1"/>
      <c r="E31" s="1"/>
      <c r="F31" s="29"/>
      <c r="G31" s="1"/>
      <c r="H31" s="1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</sheetData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44.421875" style="0" customWidth="1"/>
    <col min="2" max="2" width="14.7109375" style="0" customWidth="1"/>
    <col min="3" max="3" width="11.8515625" style="0" customWidth="1"/>
    <col min="4" max="4" width="10.57421875" style="0" customWidth="1"/>
    <col min="5" max="5" width="12.8515625" style="0" customWidth="1"/>
    <col min="6" max="6" width="12.421875" style="0" customWidth="1"/>
    <col min="8" max="8" width="11.57421875" style="0" customWidth="1"/>
    <col min="9" max="9" width="15.28125" style="0" customWidth="1"/>
    <col min="10" max="10" width="17.28125" style="0" customWidth="1"/>
    <col min="11" max="11" width="12.8515625" style="0" customWidth="1"/>
    <col min="12" max="12" width="9.28125" style="0" customWidth="1"/>
    <col min="13" max="13" width="12.57421875" style="0" customWidth="1"/>
    <col min="14" max="14" width="11.140625" style="0" customWidth="1"/>
    <col min="15" max="15" width="9.00390625" style="0" customWidth="1"/>
    <col min="16" max="16" width="10.28125" style="0" customWidth="1"/>
    <col min="17" max="17" width="13.28125" style="0" customWidth="1"/>
  </cols>
  <sheetData>
    <row r="1" spans="1:16" ht="18.75">
      <c r="A1" s="9" t="s">
        <v>142</v>
      </c>
      <c r="B1" s="7"/>
      <c r="C1" s="7"/>
      <c r="D1" s="7"/>
      <c r="E1" s="7"/>
      <c r="F1" s="7"/>
      <c r="G1" s="44"/>
      <c r="H1" s="7"/>
      <c r="I1" s="7"/>
      <c r="J1" s="7"/>
      <c r="K1" s="7"/>
      <c r="L1" s="7"/>
      <c r="M1" s="7"/>
      <c r="N1" s="7"/>
      <c r="O1" s="7"/>
      <c r="P1" s="7"/>
    </row>
    <row r="2" spans="1:17" ht="12.75">
      <c r="A2" s="7"/>
      <c r="B2" s="6" t="s">
        <v>25</v>
      </c>
      <c r="C2" s="6" t="s">
        <v>6</v>
      </c>
      <c r="D2" s="7"/>
      <c r="E2" s="12" t="s">
        <v>143</v>
      </c>
      <c r="F2" s="6" t="s">
        <v>81</v>
      </c>
      <c r="G2" s="44"/>
      <c r="H2" s="7"/>
      <c r="I2" s="7"/>
      <c r="J2" s="12" t="s">
        <v>155</v>
      </c>
      <c r="K2" s="7"/>
      <c r="L2" s="6" t="s">
        <v>83</v>
      </c>
      <c r="M2" s="12" t="s">
        <v>140</v>
      </c>
      <c r="N2" s="7"/>
      <c r="O2" s="7"/>
      <c r="P2" s="35"/>
      <c r="Q2" s="30"/>
    </row>
    <row r="3" spans="1:20" ht="12.75">
      <c r="A3" s="7"/>
      <c r="B3" s="6" t="s">
        <v>7</v>
      </c>
      <c r="C3" s="6" t="s">
        <v>141</v>
      </c>
      <c r="D3" s="6" t="s">
        <v>42</v>
      </c>
      <c r="E3" s="6" t="s">
        <v>4</v>
      </c>
      <c r="F3" s="42" t="s">
        <v>82</v>
      </c>
      <c r="G3" s="6" t="s">
        <v>5</v>
      </c>
      <c r="H3" s="6" t="s">
        <v>59</v>
      </c>
      <c r="I3" s="3" t="s">
        <v>60</v>
      </c>
      <c r="J3" s="3" t="s">
        <v>139</v>
      </c>
      <c r="K3" s="6" t="s">
        <v>3</v>
      </c>
      <c r="L3" s="6" t="s">
        <v>84</v>
      </c>
      <c r="M3" s="6" t="s">
        <v>4</v>
      </c>
      <c r="N3" s="6" t="s">
        <v>2</v>
      </c>
      <c r="T3" s="6"/>
    </row>
    <row r="4" spans="1:20" ht="12.75">
      <c r="A4" s="189" t="s">
        <v>112</v>
      </c>
      <c r="B4" s="61">
        <f>Paper!U4</f>
        <v>92.55555555555556</v>
      </c>
      <c r="C4" s="61">
        <f>Static!F4</f>
        <v>34.875</v>
      </c>
      <c r="D4" s="61">
        <f>Cost!C7</f>
        <v>10.36911413043832</v>
      </c>
      <c r="E4" s="61">
        <f>'Subjective Handling'!L4</f>
        <v>38.95</v>
      </c>
      <c r="F4" s="61">
        <f>'Fuel Economy '!E6</f>
        <v>181.32758736395166</v>
      </c>
      <c r="G4" s="61">
        <f>Oral!M4</f>
        <v>75.375</v>
      </c>
      <c r="H4" s="72">
        <f>Noise!E5</f>
        <v>0</v>
      </c>
      <c r="I4" s="75">
        <f>Acceleration!E5</f>
        <v>71.78961903442456</v>
      </c>
      <c r="J4" s="75">
        <f>'Shock Input_Rider Comfort'!F6</f>
        <v>72.46340140464076</v>
      </c>
      <c r="K4" s="61">
        <f>Emissions!F6</f>
        <v>300</v>
      </c>
      <c r="L4" s="61">
        <f>'Cold Start'!C4</f>
        <v>50</v>
      </c>
      <c r="M4" s="61">
        <f>'Objective Handling'!E6</f>
        <v>56.797848915375155</v>
      </c>
      <c r="N4" s="61">
        <f>Penalties!I4</f>
        <v>0</v>
      </c>
      <c r="O4" s="62"/>
      <c r="T4" s="72"/>
    </row>
    <row r="5" spans="1:20" ht="12.75">
      <c r="A5" s="189" t="s">
        <v>121</v>
      </c>
      <c r="B5" s="61">
        <f>Paper!U5</f>
        <v>85.81818181818181</v>
      </c>
      <c r="C5" s="61">
        <f>Static!F5</f>
        <v>44.25</v>
      </c>
      <c r="D5" s="61">
        <f>Cost!C8</f>
        <v>15.285460369391576</v>
      </c>
      <c r="E5" s="61">
        <f>'Subjective Handling'!L5</f>
        <v>34</v>
      </c>
      <c r="F5" s="61">
        <f>'Fuel Economy '!E7</f>
        <v>0</v>
      </c>
      <c r="G5" s="61">
        <f>Oral!M5</f>
        <v>68</v>
      </c>
      <c r="H5" s="72">
        <f>Noise!E6</f>
        <v>0</v>
      </c>
      <c r="I5" s="75">
        <f>Acceleration!E6</f>
        <v>83.6294062396633</v>
      </c>
      <c r="J5" s="75">
        <f>'Shock Input_Rider Comfort'!F7</f>
        <v>69.64010997524142</v>
      </c>
      <c r="K5" s="61">
        <f>Emissions!F7</f>
        <v>296.86382978723407</v>
      </c>
      <c r="L5" s="61">
        <f>'Cold Start'!C5</f>
        <v>50</v>
      </c>
      <c r="M5" s="61">
        <f>'Objective Handling'!E7</f>
        <v>68.92189999808242</v>
      </c>
      <c r="N5" s="61">
        <f>Penalties!I5</f>
        <v>0</v>
      </c>
      <c r="O5" s="62"/>
      <c r="T5" s="72"/>
    </row>
    <row r="6" spans="1:20" ht="12.75">
      <c r="A6" t="s">
        <v>149</v>
      </c>
      <c r="B6" s="61">
        <f>Paper!U6</f>
        <v>73.5</v>
      </c>
      <c r="C6" s="61">
        <f>Static!F6</f>
        <v>27.5</v>
      </c>
      <c r="D6" s="61">
        <f>Cost!C9</f>
        <v>24.399256170337313</v>
      </c>
      <c r="E6" s="61">
        <f>'Subjective Handling'!L6</f>
        <v>35.9</v>
      </c>
      <c r="F6" s="61">
        <f>'Fuel Economy '!E8</f>
        <v>190.7831374831429</v>
      </c>
      <c r="G6" s="61">
        <f>Oral!M6</f>
        <v>71.6</v>
      </c>
      <c r="H6" s="72">
        <f>Noise!E7</f>
        <v>0</v>
      </c>
      <c r="I6" s="75">
        <f>Acceleration!E7</f>
        <v>69.76071203367971</v>
      </c>
      <c r="J6" s="75">
        <f>'Shock Input_Rider Comfort'!F8</f>
        <v>73.26262885161803</v>
      </c>
      <c r="K6" s="61">
        <f>Emissions!F8</f>
        <v>262.55229994044157</v>
      </c>
      <c r="L6" s="61">
        <f>'Cold Start'!C6</f>
        <v>50</v>
      </c>
      <c r="M6" s="61">
        <f>'Objective Handling'!E8</f>
        <v>70.53030907460365</v>
      </c>
      <c r="N6" s="61">
        <f>Penalties!I6</f>
        <v>0</v>
      </c>
      <c r="O6" s="62"/>
      <c r="T6" s="72"/>
    </row>
    <row r="7" spans="1:20" ht="12.75">
      <c r="A7" s="189" t="s">
        <v>113</v>
      </c>
      <c r="B7" s="61">
        <f>Paper!U7</f>
        <v>76.9</v>
      </c>
      <c r="C7" s="61">
        <f>Static!F7</f>
        <v>40.625</v>
      </c>
      <c r="D7" s="61">
        <f>Cost!C10</f>
        <v>12.008629040457631</v>
      </c>
      <c r="E7" s="61">
        <f>'Subjective Handling'!L7</f>
        <v>35.65</v>
      </c>
      <c r="F7" s="61">
        <f>'Fuel Economy '!E9</f>
        <v>200</v>
      </c>
      <c r="G7" s="61">
        <f>Oral!M7</f>
        <v>61.18181818181818</v>
      </c>
      <c r="H7" s="72">
        <f>Noise!E8</f>
        <v>300</v>
      </c>
      <c r="I7" s="75">
        <f>Acceleration!E8</f>
        <v>84.94541116743729</v>
      </c>
      <c r="J7" s="75">
        <f>'Shock Input_Rider Comfort'!F9</f>
        <v>75</v>
      </c>
      <c r="K7" s="61">
        <f>Emissions!F9</f>
        <v>281.09140349531026</v>
      </c>
      <c r="L7" s="61">
        <f>'Cold Start'!C7</f>
        <v>50</v>
      </c>
      <c r="M7" s="61">
        <f>'Objective Handling'!E9</f>
        <v>59.97740726669739</v>
      </c>
      <c r="N7" s="61">
        <f>Penalties!I7</f>
        <v>0</v>
      </c>
      <c r="O7" s="62"/>
      <c r="T7" s="72"/>
    </row>
    <row r="8" spans="1:20" ht="12.75">
      <c r="A8" s="189" t="s">
        <v>114</v>
      </c>
      <c r="B8" s="61">
        <f>Paper!U8</f>
        <v>78.77777777777777</v>
      </c>
      <c r="C8" s="61">
        <f>Static!F8</f>
        <v>38.75</v>
      </c>
      <c r="D8" s="61">
        <f>Cost!C11</f>
        <v>3.2567986419553105</v>
      </c>
      <c r="E8" s="61">
        <f>'Subjective Handling'!L8</f>
        <v>40.65</v>
      </c>
      <c r="F8" s="61">
        <f>'Fuel Economy '!E10</f>
        <v>178.30607463460075</v>
      </c>
      <c r="G8" s="61">
        <f>Oral!M8</f>
        <v>72.75</v>
      </c>
      <c r="H8" s="72">
        <f>Noise!E9</f>
        <v>300</v>
      </c>
      <c r="I8" s="75">
        <f>Acceleration!E9</f>
        <v>79.87257083127562</v>
      </c>
      <c r="J8" s="75">
        <f>'Shock Input_Rider Comfort'!F10</f>
        <v>74.94979874427523</v>
      </c>
      <c r="K8" s="61">
        <f>Emissions!F10</f>
        <v>235.24283161783245</v>
      </c>
      <c r="L8" s="61">
        <f>'Cold Start'!C8</f>
        <v>50</v>
      </c>
      <c r="M8" s="61">
        <f>'Objective Handling'!E10</f>
        <v>59.97740726669739</v>
      </c>
      <c r="N8" s="61">
        <f>Penalties!I8</f>
        <v>0</v>
      </c>
      <c r="O8" s="62"/>
      <c r="T8" s="72"/>
    </row>
    <row r="9" spans="1:20" ht="12.75">
      <c r="A9" s="189" t="s">
        <v>115</v>
      </c>
      <c r="B9" s="61">
        <f>Paper!U9</f>
        <v>70</v>
      </c>
      <c r="C9" s="61">
        <f>Static!F9</f>
        <v>36.25</v>
      </c>
      <c r="D9" s="61">
        <f>Cost!C12</f>
        <v>50</v>
      </c>
      <c r="E9" s="61">
        <f>'Subjective Handling'!L9</f>
        <v>41.7</v>
      </c>
      <c r="F9" s="61">
        <f>'Fuel Economy '!E11</f>
        <v>0</v>
      </c>
      <c r="G9" s="61">
        <f>Oral!M9</f>
        <v>74.23181818181818</v>
      </c>
      <c r="H9" s="72">
        <f>Noise!E10</f>
        <v>0</v>
      </c>
      <c r="I9" s="75">
        <f>Acceleration!E10</f>
        <v>100</v>
      </c>
      <c r="J9" s="75">
        <f>'Shock Input_Rider Comfort'!F11</f>
        <v>64.92762219071261</v>
      </c>
      <c r="K9" s="61">
        <f>Emissions!F11</f>
        <v>234.27421560137535</v>
      </c>
      <c r="L9" s="61">
        <f>'Cold Start'!C9</f>
        <v>50</v>
      </c>
      <c r="M9" s="61">
        <f>'Objective Handling'!E11</f>
        <v>75</v>
      </c>
      <c r="N9" s="61">
        <f>Penalties!I9</f>
        <v>0</v>
      </c>
      <c r="O9" s="62"/>
      <c r="T9" s="72"/>
    </row>
    <row r="10" spans="1:20" ht="12.75">
      <c r="A10" s="189" t="s">
        <v>116</v>
      </c>
      <c r="B10" s="61">
        <f>Paper!U10</f>
        <v>72.66666666666667</v>
      </c>
      <c r="C10" s="61">
        <f>Static!F10</f>
        <v>35.625</v>
      </c>
      <c r="D10" s="61">
        <f>Cost!C13</f>
        <v>31.619764153925022</v>
      </c>
      <c r="E10" s="61">
        <f>'Subjective Handling'!L10</f>
        <v>36.1</v>
      </c>
      <c r="F10" s="61">
        <f>'Fuel Economy '!E12</f>
        <v>100</v>
      </c>
      <c r="G10" s="61">
        <f>Oral!M10</f>
        <v>65.04545454545455</v>
      </c>
      <c r="H10" s="72">
        <f>Noise!E11</f>
        <v>199.2891048486494</v>
      </c>
      <c r="I10" s="75">
        <f>Acceleration!E11</f>
        <v>63.0497694864716</v>
      </c>
      <c r="J10" s="75">
        <f>'Shock Input_Rider Comfort'!F12</f>
        <v>25</v>
      </c>
      <c r="K10" s="61">
        <f>Emissions!F12</f>
        <v>0</v>
      </c>
      <c r="L10" s="61">
        <f>'Cold Start'!C10</f>
        <v>50</v>
      </c>
      <c r="M10" s="61">
        <f>'Objective Handling'!E12</f>
        <v>71.62269502338137</v>
      </c>
      <c r="N10" s="61">
        <f>Penalties!I10</f>
        <v>20</v>
      </c>
      <c r="O10" s="62"/>
      <c r="T10" s="72"/>
    </row>
    <row r="11" spans="1:20" ht="12.75">
      <c r="A11" s="189" t="s">
        <v>117</v>
      </c>
      <c r="B11" s="61">
        <f>Paper!U11</f>
        <v>86.55555555555556</v>
      </c>
      <c r="C11" s="61">
        <f>Static!F11</f>
        <v>40.875</v>
      </c>
      <c r="D11" s="61">
        <f>Cost!C14</f>
        <v>19.769991898523045</v>
      </c>
      <c r="E11" s="61">
        <f>'Subjective Handling'!L11</f>
        <v>34.95</v>
      </c>
      <c r="F11" s="61">
        <f>'Fuel Economy '!E13</f>
        <v>194.07160191452195</v>
      </c>
      <c r="G11" s="61">
        <f>Oral!M11</f>
        <v>67.81818181818181</v>
      </c>
      <c r="H11" s="72">
        <f>Noise!E12</f>
        <v>0</v>
      </c>
      <c r="I11" s="75">
        <f>Acceleration!E12</f>
        <v>71.0739349239737</v>
      </c>
      <c r="J11" s="75">
        <f>'Shock Input_Rider Comfort'!F13</f>
        <v>62.493016790018665</v>
      </c>
      <c r="K11" s="61">
        <f>Emissions!F13</f>
        <v>222.15780854352332</v>
      </c>
      <c r="L11" s="61">
        <f>'Cold Start'!C11</f>
        <v>50</v>
      </c>
      <c r="M11" s="61">
        <f>'Objective Handling'!E13</f>
        <v>57.24258318745888</v>
      </c>
      <c r="N11" s="61">
        <f>Penalties!I11</f>
        <v>0</v>
      </c>
      <c r="O11" s="62"/>
      <c r="T11" s="72"/>
    </row>
    <row r="12" spans="1:20" ht="12.75">
      <c r="A12" s="189" t="s">
        <v>122</v>
      </c>
      <c r="B12" s="61">
        <f>Paper!U12</f>
        <v>70.23611111111111</v>
      </c>
      <c r="C12" s="61">
        <f>Static!F12</f>
        <v>38.375</v>
      </c>
      <c r="D12" s="61">
        <f>Cost!C15</f>
        <v>12.915713986828072</v>
      </c>
      <c r="E12" s="61">
        <f>'Subjective Handling'!L12</f>
        <v>0</v>
      </c>
      <c r="F12" s="61">
        <f>'Fuel Economy '!E14</f>
        <v>0</v>
      </c>
      <c r="G12" s="61">
        <f>Oral!M12</f>
        <v>63.72727272727273</v>
      </c>
      <c r="H12" s="72">
        <f>Noise!E13</f>
        <v>0</v>
      </c>
      <c r="I12" s="75">
        <f>Acceleration!E13</f>
        <v>0</v>
      </c>
      <c r="J12" s="75">
        <f>'Shock Input_Rider Comfort'!F14</f>
        <v>0</v>
      </c>
      <c r="K12" s="61">
        <f>Emissions!F14</f>
        <v>0</v>
      </c>
      <c r="L12" s="61">
        <f>'Cold Start'!C12</f>
        <v>0</v>
      </c>
      <c r="M12" s="61">
        <f>'Objective Handling'!E14</f>
        <v>0</v>
      </c>
      <c r="N12" s="61">
        <f>Penalties!I12</f>
        <v>25</v>
      </c>
      <c r="O12" s="62"/>
      <c r="T12" s="72"/>
    </row>
    <row r="13" spans="1:20" ht="12.75">
      <c r="A13" s="189" t="s">
        <v>118</v>
      </c>
      <c r="B13" s="61">
        <f>Paper!U13</f>
        <v>82</v>
      </c>
      <c r="C13" s="61">
        <f>Static!F13</f>
        <v>42.5</v>
      </c>
      <c r="D13" s="61">
        <f>Cost!C16</f>
        <v>11.50871439164412</v>
      </c>
      <c r="E13" s="61">
        <f>'Subjective Handling'!L13</f>
        <v>38.15</v>
      </c>
      <c r="F13" s="61">
        <f>'Fuel Economy '!E15</f>
        <v>0</v>
      </c>
      <c r="G13" s="61">
        <f>Oral!M13</f>
        <v>80.36363636363636</v>
      </c>
      <c r="H13" s="72">
        <f>Noise!E14</f>
        <v>0</v>
      </c>
      <c r="I13" s="75">
        <f>Acceleration!E14</f>
        <v>94.72554589116535</v>
      </c>
      <c r="J13" s="75">
        <f>'Shock Input_Rider Comfort'!F15</f>
        <v>61.44555694618273</v>
      </c>
      <c r="K13" s="61">
        <f>Emissions!F15</f>
        <v>0</v>
      </c>
      <c r="L13" s="61">
        <f>'Cold Start'!C13</f>
        <v>50</v>
      </c>
      <c r="M13" s="61">
        <f>'Objective Handling'!E15</f>
        <v>0</v>
      </c>
      <c r="N13" s="61">
        <f>Penalties!I13</f>
        <v>10</v>
      </c>
      <c r="O13" s="62"/>
      <c r="T13" s="72"/>
    </row>
    <row r="14" spans="1:20" ht="12.75">
      <c r="A14" s="189" t="s">
        <v>111</v>
      </c>
      <c r="B14" s="61">
        <f>Paper!U14</f>
        <v>80.1</v>
      </c>
      <c r="C14" s="61">
        <f>Static!F14</f>
        <v>42.25</v>
      </c>
      <c r="D14" s="61">
        <f>Cost!C17</f>
        <v>43.54204172450621</v>
      </c>
      <c r="E14" s="61">
        <f>'Subjective Handling'!L14</f>
        <v>0</v>
      </c>
      <c r="F14" s="61">
        <f>'Fuel Economy '!E16</f>
        <v>0</v>
      </c>
      <c r="G14" s="61">
        <f>Oral!M14</f>
        <v>0</v>
      </c>
      <c r="H14" s="72">
        <f>Noise!E15</f>
        <v>0</v>
      </c>
      <c r="I14" s="75">
        <f>Acceleration!E15</f>
        <v>0</v>
      </c>
      <c r="J14" s="75">
        <f>'Shock Input_Rider Comfort'!F16</f>
        <v>0</v>
      </c>
      <c r="K14" s="61">
        <f>Emissions!F16</f>
        <v>0</v>
      </c>
      <c r="L14" s="61">
        <f>'Cold Start'!C14</f>
        <v>0</v>
      </c>
      <c r="M14" s="61">
        <f>'Objective Handling'!E16</f>
        <v>0</v>
      </c>
      <c r="N14" s="61">
        <f>Penalties!I14</f>
        <v>10</v>
      </c>
      <c r="O14" s="62"/>
      <c r="T14" s="72"/>
    </row>
    <row r="15" spans="1:20" ht="12.75">
      <c r="A15" s="189" t="s">
        <v>119</v>
      </c>
      <c r="B15" s="61">
        <f>Paper!U15</f>
        <v>69.8</v>
      </c>
      <c r="C15" s="61">
        <f>Static!F15</f>
        <v>32.375</v>
      </c>
      <c r="D15" s="61">
        <f>Cost!C18</f>
        <v>0</v>
      </c>
      <c r="E15" s="61">
        <f>'Subjective Handling'!L15</f>
        <v>35.6</v>
      </c>
      <c r="F15" s="61">
        <f>'Fuel Economy '!E17</f>
        <v>0</v>
      </c>
      <c r="G15" s="61">
        <f>Oral!M15</f>
        <v>47.81818181818182</v>
      </c>
      <c r="H15" s="72">
        <f>Noise!E16</f>
        <v>0</v>
      </c>
      <c r="I15" s="75">
        <f>Acceleration!E16</f>
        <v>75.29906232996464</v>
      </c>
      <c r="J15" s="75">
        <f>'Shock Input_Rider Comfort'!F17</f>
        <v>52.701706882262805</v>
      </c>
      <c r="K15" s="61">
        <f>Emissions!F17</f>
        <v>0</v>
      </c>
      <c r="L15" s="61">
        <f>'Cold Start'!C15</f>
        <v>50</v>
      </c>
      <c r="M15" s="61">
        <f>'Objective Handling'!E17</f>
        <v>0</v>
      </c>
      <c r="N15" s="61">
        <f>Penalties!I15</f>
        <v>10</v>
      </c>
      <c r="O15" s="62"/>
      <c r="T15" s="72"/>
    </row>
    <row r="16" spans="1:16" ht="12.75">
      <c r="A16" s="189" t="s">
        <v>120</v>
      </c>
      <c r="B16" s="61">
        <f>Paper!U16</f>
        <v>53.5</v>
      </c>
      <c r="C16" s="61">
        <f>Static!F16</f>
        <v>22.125</v>
      </c>
      <c r="D16" s="61">
        <f>Cost!C19</f>
        <v>9.359236732049913</v>
      </c>
      <c r="E16" s="61">
        <f>'Subjective Handling'!L16</f>
        <v>31.857142857142858</v>
      </c>
      <c r="F16" s="61">
        <f>'Fuel Economy '!E18</f>
        <v>0</v>
      </c>
      <c r="G16" s="61">
        <f>Oral!M16</f>
        <v>44.27272727272727</v>
      </c>
      <c r="H16" s="72">
        <f>Noise!E17</f>
        <v>0</v>
      </c>
      <c r="I16" s="75">
        <f>Acceleration!E17</f>
        <v>0</v>
      </c>
      <c r="J16" s="75">
        <f>'Shock Input_Rider Comfort'!F18</f>
        <v>0</v>
      </c>
      <c r="K16" s="61">
        <f>Emissions!F18</f>
        <v>0</v>
      </c>
      <c r="L16" s="61">
        <f>'Cold Start'!C16</f>
        <v>0</v>
      </c>
      <c r="M16" s="61">
        <f>'Objective Handling'!E18</f>
        <v>0</v>
      </c>
      <c r="N16" s="61">
        <f>Penalties!I16</f>
        <v>0</v>
      </c>
      <c r="O16" s="7"/>
      <c r="P16" s="7"/>
    </row>
    <row r="17" spans="1:16" ht="12.75">
      <c r="A17" s="189"/>
      <c r="B17" s="61"/>
      <c r="C17" s="61"/>
      <c r="D17" s="61"/>
      <c r="E17" s="61"/>
      <c r="F17" s="61"/>
      <c r="G17" s="61"/>
      <c r="H17" s="72"/>
      <c r="I17" s="75"/>
      <c r="J17" s="75"/>
      <c r="K17" s="61"/>
      <c r="L17" s="61"/>
      <c r="M17" s="61"/>
      <c r="N17" s="61"/>
      <c r="O17" s="7"/>
      <c r="P17" s="7"/>
    </row>
    <row r="18" spans="13:16" ht="12.75">
      <c r="M18" s="6"/>
      <c r="N18" s="15"/>
      <c r="O18" s="7"/>
      <c r="P18" s="7"/>
    </row>
    <row r="19" spans="1:16" ht="12.75">
      <c r="A19" s="12"/>
      <c r="B19" s="24" t="s">
        <v>23</v>
      </c>
      <c r="C19" s="21" t="s">
        <v>23</v>
      </c>
      <c r="D19" s="40" t="s">
        <v>26</v>
      </c>
      <c r="E19" s="40" t="s">
        <v>90</v>
      </c>
      <c r="F19" s="40" t="s">
        <v>23</v>
      </c>
      <c r="G19" s="39"/>
      <c r="H19" s="39"/>
      <c r="L19" s="62"/>
      <c r="M19" s="41"/>
      <c r="N19" s="11"/>
      <c r="O19" s="7"/>
      <c r="P19" s="7"/>
    </row>
    <row r="20" spans="1:16" ht="12.75">
      <c r="A20" s="7"/>
      <c r="B20" s="24" t="s">
        <v>22</v>
      </c>
      <c r="C20" s="24" t="s">
        <v>25</v>
      </c>
      <c r="D20" s="24" t="s">
        <v>27</v>
      </c>
      <c r="E20" s="24" t="s">
        <v>23</v>
      </c>
      <c r="F20" s="24" t="s">
        <v>28</v>
      </c>
      <c r="G20" s="24" t="s">
        <v>29</v>
      </c>
      <c r="H20" s="24" t="s">
        <v>31</v>
      </c>
      <c r="L20" s="62"/>
      <c r="M20" s="41"/>
      <c r="N20" s="11"/>
      <c r="O20" s="7"/>
      <c r="P20" s="7"/>
    </row>
    <row r="21" spans="1:16" ht="12.75">
      <c r="A21" s="7"/>
      <c r="B21" s="24" t="s">
        <v>24</v>
      </c>
      <c r="C21" s="24" t="s">
        <v>24</v>
      </c>
      <c r="D21" s="24" t="s">
        <v>24</v>
      </c>
      <c r="E21" s="24" t="s">
        <v>144</v>
      </c>
      <c r="F21" s="24" t="s">
        <v>24</v>
      </c>
      <c r="G21" s="24" t="s">
        <v>11</v>
      </c>
      <c r="H21" s="24" t="s">
        <v>30</v>
      </c>
      <c r="L21" s="62"/>
      <c r="M21" s="41"/>
      <c r="N21" s="11"/>
      <c r="O21" s="7"/>
      <c r="P21" s="7"/>
    </row>
    <row r="22" spans="1:16" ht="12.75">
      <c r="A22" s="189" t="s">
        <v>112</v>
      </c>
      <c r="B22" s="41" t="str">
        <f>IF(AND(H4&gt;0,K4&gt;0,I4&gt;0),(I4+M4),"Not Eligible")</f>
        <v>Not Eligible</v>
      </c>
      <c r="C22" s="41" t="str">
        <f aca="true" t="shared" si="0" ref="C22:C34">IF(AND(K4&gt;0,H4&gt;0,I4&gt;0),(B4+G4+C4),"Not Eligible")</f>
        <v>Not Eligible</v>
      </c>
      <c r="D22" s="147">
        <f>(K4+H4)/Cost!B7</f>
        <v>0.2277433969597775</v>
      </c>
      <c r="E22" s="147">
        <f>E4+J4</f>
        <v>111.41340140464077</v>
      </c>
      <c r="F22" s="147">
        <f>(F4+I4+M4+J4+L4)/Cost!B7</f>
        <v>0.32823779501757583</v>
      </c>
      <c r="G22" s="40">
        <f aca="true" t="shared" si="1" ref="G22:G34">SUM(B4:N4)</f>
        <v>984.503126404386</v>
      </c>
      <c r="H22" s="24">
        <f aca="true" t="shared" si="2" ref="H22:H34">RANK(G22,$G$22:$G$34)</f>
        <v>3</v>
      </c>
      <c r="I22" s="41"/>
      <c r="J22" s="24"/>
      <c r="L22" s="62"/>
      <c r="M22" s="41"/>
      <c r="N22" s="11"/>
      <c r="O22" s="7"/>
      <c r="P22" s="7"/>
    </row>
    <row r="23" spans="1:16" ht="12.75">
      <c r="A23" s="189" t="s">
        <v>121</v>
      </c>
      <c r="B23" s="41" t="str">
        <f aca="true" t="shared" si="3" ref="B23:B34">IF(AND(H5&gt;0,K5&gt;0,I5&gt;0),(I5+M5),"Not Eligible")</f>
        <v>Not Eligible</v>
      </c>
      <c r="C23" s="41" t="str">
        <f t="shared" si="0"/>
        <v>Not Eligible</v>
      </c>
      <c r="D23" s="147">
        <f>(K5+H5)/Cost!B8</f>
        <v>0.24163953130320062</v>
      </c>
      <c r="E23" s="147">
        <f aca="true" t="shared" si="4" ref="E23:E34">E5+J5</f>
        <v>103.64010997524142</v>
      </c>
      <c r="F23" s="147">
        <f>(F5+I5+M5+J5+L5)/Cost!B8</f>
        <v>0.22155682046411773</v>
      </c>
      <c r="G23" s="40">
        <f t="shared" si="1"/>
        <v>816.4088881877946</v>
      </c>
      <c r="H23" s="24">
        <f t="shared" si="2"/>
        <v>6</v>
      </c>
      <c r="J23" s="24"/>
      <c r="L23" s="62"/>
      <c r="M23" s="41"/>
      <c r="N23" s="11"/>
      <c r="O23" s="7"/>
      <c r="P23" s="7"/>
    </row>
    <row r="24" spans="1:16" ht="12.75">
      <c r="A24" t="s">
        <v>149</v>
      </c>
      <c r="B24" s="41" t="str">
        <f t="shared" si="3"/>
        <v>Not Eligible</v>
      </c>
      <c r="C24" s="41" t="str">
        <f t="shared" si="0"/>
        <v>Not Eligible</v>
      </c>
      <c r="D24" s="147">
        <f>(K6+H6)/Cost!B9</f>
        <v>0.23810596093159472</v>
      </c>
      <c r="E24" s="147">
        <f t="shared" si="4"/>
        <v>109.16262885161802</v>
      </c>
      <c r="F24" s="147">
        <f>(F6+I6+M6+J6+L6)/Cost!B9</f>
        <v>0.41203332587541536</v>
      </c>
      <c r="G24" s="40">
        <f t="shared" si="1"/>
        <v>949.7883435538232</v>
      </c>
      <c r="H24" s="24">
        <f t="shared" si="2"/>
        <v>4</v>
      </c>
      <c r="J24" s="24"/>
      <c r="L24" s="62"/>
      <c r="M24" s="41"/>
      <c r="N24" s="11"/>
      <c r="O24" s="7"/>
      <c r="P24" s="7"/>
    </row>
    <row r="25" spans="1:16" ht="12.75">
      <c r="A25" s="189" t="s">
        <v>113</v>
      </c>
      <c r="B25" s="41">
        <f t="shared" si="3"/>
        <v>144.92281843413468</v>
      </c>
      <c r="C25" s="41">
        <f t="shared" si="0"/>
        <v>178.7068181818182</v>
      </c>
      <c r="D25" s="147">
        <f>(K7+H7)/Cost!B10</f>
        <v>0.4520071901362111</v>
      </c>
      <c r="E25" s="147">
        <f t="shared" si="4"/>
        <v>110.65</v>
      </c>
      <c r="F25" s="147">
        <f>(F7+I7+M7+J7+L7)/Cost!B10</f>
        <v>0.3655337034133502</v>
      </c>
      <c r="G25" s="40">
        <f t="shared" si="1"/>
        <v>1277.379669151721</v>
      </c>
      <c r="H25" s="24">
        <f t="shared" si="2"/>
        <v>1</v>
      </c>
      <c r="J25" s="24"/>
      <c r="L25" s="62"/>
      <c r="M25" s="41"/>
      <c r="N25" s="11"/>
      <c r="O25" s="7"/>
      <c r="P25" s="7"/>
    </row>
    <row r="26" spans="1:16" ht="12.75">
      <c r="A26" s="189" t="s">
        <v>114</v>
      </c>
      <c r="B26" s="41">
        <f t="shared" si="3"/>
        <v>139.849978097973</v>
      </c>
      <c r="C26" s="41">
        <f t="shared" si="0"/>
        <v>190.27777777777777</v>
      </c>
      <c r="D26" s="147">
        <f>(K8+H8)/Cost!B11</f>
        <v>0.3596578629336329</v>
      </c>
      <c r="E26" s="147">
        <f t="shared" si="4"/>
        <v>115.59979874427523</v>
      </c>
      <c r="F26" s="147">
        <f>(F8+I8+M8+J8+L8)/Cost!B11</f>
        <v>0.2977461708620138</v>
      </c>
      <c r="G26" s="40">
        <f t="shared" si="1"/>
        <v>1212.5332595144146</v>
      </c>
      <c r="H26" s="24">
        <f t="shared" si="2"/>
        <v>2</v>
      </c>
      <c r="J26" s="24"/>
      <c r="L26" s="62"/>
      <c r="M26" s="41"/>
      <c r="N26" s="11"/>
      <c r="O26" s="7"/>
      <c r="P26" s="7"/>
    </row>
    <row r="27" spans="1:16" ht="12.75">
      <c r="A27" s="189" t="s">
        <v>115</v>
      </c>
      <c r="B27" s="41" t="str">
        <f t="shared" si="3"/>
        <v>Not Eligible</v>
      </c>
      <c r="C27" s="41" t="str">
        <f t="shared" si="0"/>
        <v>Not Eligible</v>
      </c>
      <c r="D27" s="147">
        <f>(K9+H9)/Cost!B12</f>
        <v>0.26417931393930466</v>
      </c>
      <c r="E27" s="147">
        <f t="shared" si="4"/>
        <v>106.62762219071261</v>
      </c>
      <c r="F27" s="147">
        <f>(F9+I9+M9+J9+L9)/Cost!B12</f>
        <v>0.32693687662461957</v>
      </c>
      <c r="G27" s="40">
        <f t="shared" si="1"/>
        <v>796.3836559739061</v>
      </c>
      <c r="H27" s="24">
        <f t="shared" si="2"/>
        <v>7</v>
      </c>
      <c r="J27" s="24"/>
      <c r="L27" s="62"/>
      <c r="M27" s="41"/>
      <c r="N27" s="11"/>
      <c r="O27" s="7"/>
      <c r="P27" s="7"/>
    </row>
    <row r="28" spans="1:16" ht="12.75">
      <c r="A28" s="189" t="s">
        <v>116</v>
      </c>
      <c r="B28" s="41" t="str">
        <f t="shared" si="3"/>
        <v>Not Eligible</v>
      </c>
      <c r="C28" s="41" t="str">
        <f t="shared" si="0"/>
        <v>Not Eligible</v>
      </c>
      <c r="D28" s="147">
        <f>(K10+H10)/Cost!B13</f>
        <v>0.19415373846621792</v>
      </c>
      <c r="E28" s="147">
        <f t="shared" si="4"/>
        <v>61.1</v>
      </c>
      <c r="F28" s="147">
        <f>(F10+I10+M10+J10+L10)/Cost!B13</f>
        <v>0.3016926927856719</v>
      </c>
      <c r="G28" s="40">
        <f t="shared" si="1"/>
        <v>770.0184547245487</v>
      </c>
      <c r="H28" s="24">
        <f t="shared" si="2"/>
        <v>8</v>
      </c>
      <c r="J28" s="24"/>
      <c r="L28" s="62"/>
      <c r="M28" s="41"/>
      <c r="N28" s="11"/>
      <c r="O28" s="7"/>
      <c r="P28" s="7"/>
    </row>
    <row r="29" spans="1:16" ht="12.75">
      <c r="A29" s="189" t="s">
        <v>117</v>
      </c>
      <c r="B29" s="41" t="str">
        <f t="shared" si="3"/>
        <v>Not Eligible</v>
      </c>
      <c r="C29" s="41" t="str">
        <f t="shared" si="0"/>
        <v>Not Eligible</v>
      </c>
      <c r="D29" s="147">
        <f>(K11+H11)/Cost!B14</f>
        <v>0.19126637613410416</v>
      </c>
      <c r="E29" s="147">
        <f t="shared" si="4"/>
        <v>97.44301679001867</v>
      </c>
      <c r="F29" s="147">
        <f>(F11+I11+M11+J11+L11)/Cost!B14</f>
        <v>0.37441015300425584</v>
      </c>
      <c r="G29" s="40">
        <f t="shared" si="1"/>
        <v>907.0076746317569</v>
      </c>
      <c r="H29" s="24">
        <f t="shared" si="2"/>
        <v>5</v>
      </c>
      <c r="J29" s="24"/>
      <c r="L29" s="62"/>
      <c r="M29" s="41"/>
      <c r="N29" s="11"/>
      <c r="O29" s="7"/>
      <c r="P29" s="7"/>
    </row>
    <row r="30" spans="1:16" ht="12.75">
      <c r="A30" s="189" t="s">
        <v>122</v>
      </c>
      <c r="B30" s="41" t="str">
        <f t="shared" si="3"/>
        <v>Not Eligible</v>
      </c>
      <c r="C30" s="41" t="str">
        <f t="shared" si="0"/>
        <v>Not Eligible</v>
      </c>
      <c r="D30" s="147">
        <f>(K12+H12)/Cost!B15</f>
        <v>0</v>
      </c>
      <c r="E30" s="147">
        <f t="shared" si="4"/>
        <v>0</v>
      </c>
      <c r="F30" s="147">
        <f>(F12+I12+M12+J12+L12)/Cost!B15</f>
        <v>0</v>
      </c>
      <c r="G30" s="40">
        <f t="shared" si="1"/>
        <v>210.25409782521191</v>
      </c>
      <c r="H30" s="24">
        <f t="shared" si="2"/>
        <v>11</v>
      </c>
      <c r="J30" s="24"/>
      <c r="L30" s="62"/>
      <c r="M30" s="41"/>
      <c r="N30" s="11"/>
      <c r="O30" s="7"/>
      <c r="P30" s="7"/>
    </row>
    <row r="31" spans="1:16" ht="12.75">
      <c r="A31" s="189" t="s">
        <v>118</v>
      </c>
      <c r="B31" s="41" t="str">
        <f t="shared" si="3"/>
        <v>Not Eligible</v>
      </c>
      <c r="C31" s="41" t="str">
        <f t="shared" si="0"/>
        <v>Not Eligible</v>
      </c>
      <c r="D31" s="147">
        <f>(K13+H13)/Cost!B16</f>
        <v>0</v>
      </c>
      <c r="E31" s="147">
        <f t="shared" si="4"/>
        <v>99.59555694618273</v>
      </c>
      <c r="F31" s="147">
        <f>(F13+I13+M13+J13+L13)/Cost!B16</f>
        <v>0.159205484816485</v>
      </c>
      <c r="G31" s="40">
        <f t="shared" si="1"/>
        <v>470.69345359262854</v>
      </c>
      <c r="H31" s="24">
        <f t="shared" si="2"/>
        <v>9</v>
      </c>
      <c r="J31" s="24"/>
      <c r="L31" s="33"/>
      <c r="M31" s="22"/>
      <c r="N31" s="11"/>
      <c r="O31" s="7"/>
      <c r="P31" s="7"/>
    </row>
    <row r="32" spans="1:16" s="83" customFormat="1" ht="12.75">
      <c r="A32" s="189" t="s">
        <v>111</v>
      </c>
      <c r="B32" s="41" t="str">
        <f t="shared" si="3"/>
        <v>Not Eligible</v>
      </c>
      <c r="C32" s="41" t="str">
        <f t="shared" si="0"/>
        <v>Not Eligible</v>
      </c>
      <c r="D32" s="147">
        <f>(K14+H14)/Cost!B17</f>
        <v>0</v>
      </c>
      <c r="E32" s="147">
        <f t="shared" si="4"/>
        <v>0</v>
      </c>
      <c r="F32" s="147">
        <f>(F14+I14+M14+J14+L14)/Cost!B17</f>
        <v>0</v>
      </c>
      <c r="G32" s="40">
        <f t="shared" si="1"/>
        <v>175.8920417245062</v>
      </c>
      <c r="H32" s="24">
        <f t="shared" si="2"/>
        <v>12</v>
      </c>
      <c r="I32" s="84"/>
      <c r="J32" s="24"/>
      <c r="K32" s="84"/>
      <c r="L32" s="84"/>
      <c r="M32" s="84"/>
      <c r="N32" s="84"/>
      <c r="O32" s="44"/>
      <c r="P32" s="44"/>
    </row>
    <row r="33" spans="1:16" s="83" customFormat="1" ht="12.75">
      <c r="A33" s="189" t="s">
        <v>119</v>
      </c>
      <c r="B33" s="41" t="str">
        <f t="shared" si="3"/>
        <v>Not Eligible</v>
      </c>
      <c r="C33" s="41" t="str">
        <f t="shared" si="0"/>
        <v>Not Eligible</v>
      </c>
      <c r="D33" s="147">
        <f>(K15+H15)/Cost!B18</f>
        <v>0</v>
      </c>
      <c r="E33" s="147">
        <f t="shared" si="4"/>
        <v>88.3017068822628</v>
      </c>
      <c r="F33" s="147">
        <f>(F15+I15+M15+J15+L15)/Cost!B18</f>
        <v>0.11178425055403769</v>
      </c>
      <c r="G33" s="40">
        <f t="shared" si="1"/>
        <v>373.59395103040924</v>
      </c>
      <c r="H33" s="24">
        <f t="shared" si="2"/>
        <v>10</v>
      </c>
      <c r="I33" s="84"/>
      <c r="J33" s="24"/>
      <c r="K33" s="84"/>
      <c r="L33" s="84"/>
      <c r="M33" s="84"/>
      <c r="N33" s="84"/>
      <c r="O33" s="44"/>
      <c r="P33" s="44"/>
    </row>
    <row r="34" spans="1:16" s="83" customFormat="1" ht="12.75">
      <c r="A34" s="189" t="s">
        <v>120</v>
      </c>
      <c r="B34" s="41" t="str">
        <f t="shared" si="3"/>
        <v>Not Eligible</v>
      </c>
      <c r="C34" s="41" t="str">
        <f t="shared" si="0"/>
        <v>Not Eligible</v>
      </c>
      <c r="D34" s="147">
        <f>(K16+H16)/Cost!B19</f>
        <v>0</v>
      </c>
      <c r="E34" s="147">
        <f t="shared" si="4"/>
        <v>31.857142857142858</v>
      </c>
      <c r="F34" s="147">
        <f>(F16+I16+M16+J16+L16)/Cost!B19</f>
        <v>0</v>
      </c>
      <c r="G34" s="40">
        <f t="shared" si="1"/>
        <v>161.11410686192005</v>
      </c>
      <c r="H34" s="24">
        <f t="shared" si="2"/>
        <v>13</v>
      </c>
      <c r="I34" s="84"/>
      <c r="J34" s="24"/>
      <c r="K34" s="84"/>
      <c r="L34" s="84"/>
      <c r="M34" s="84"/>
      <c r="N34" s="84"/>
      <c r="O34" s="44"/>
      <c r="P34" s="44"/>
    </row>
    <row r="35" spans="1:16" s="83" customFormat="1" ht="12.75">
      <c r="A35" s="189"/>
      <c r="B35" s="41"/>
      <c r="C35" s="41"/>
      <c r="D35" s="147">
        <f>MAX(D22:D34)</f>
        <v>0.4520071901362111</v>
      </c>
      <c r="E35" s="147">
        <f>MAX(E22:E34)</f>
        <v>115.59979874427523</v>
      </c>
      <c r="F35" s="147">
        <f>MAX(F22:F34)</f>
        <v>0.41203332587541536</v>
      </c>
      <c r="G35" s="40"/>
      <c r="H35" s="24"/>
      <c r="I35" s="84"/>
      <c r="J35" s="24"/>
      <c r="K35" s="84"/>
      <c r="L35" s="84"/>
      <c r="M35" s="84"/>
      <c r="N35" s="84"/>
      <c r="O35" s="44"/>
      <c r="P35" s="44"/>
    </row>
    <row r="36" spans="6:16" s="83" customFormat="1" ht="12.75">
      <c r="F36" s="99"/>
      <c r="G36" s="43"/>
      <c r="H36" s="84"/>
      <c r="I36" s="84"/>
      <c r="J36" s="84"/>
      <c r="K36" s="84"/>
      <c r="L36" s="84"/>
      <c r="M36" s="84"/>
      <c r="N36" s="84"/>
      <c r="O36" s="44"/>
      <c r="P36" s="44"/>
    </row>
    <row r="37" spans="1:16" s="83" customFormat="1" ht="12.75">
      <c r="A37" s="97" t="s">
        <v>62</v>
      </c>
      <c r="B37" s="199" t="s">
        <v>177</v>
      </c>
      <c r="C37" s="98"/>
      <c r="D37" s="98"/>
      <c r="E37" s="98"/>
      <c r="F37" s="99"/>
      <c r="G37" s="43"/>
      <c r="H37" s="84"/>
      <c r="I37" s="44"/>
      <c r="J37" s="44"/>
      <c r="K37" s="44"/>
      <c r="L37" s="44"/>
      <c r="M37" s="44"/>
      <c r="N37" s="44"/>
      <c r="O37" s="44"/>
      <c r="P37" s="44"/>
    </row>
    <row r="38" spans="1:16" s="83" customFormat="1" ht="12.75">
      <c r="A38" s="97" t="s">
        <v>61</v>
      </c>
      <c r="B38" s="8" t="s">
        <v>175</v>
      </c>
      <c r="C38" s="98"/>
      <c r="D38" s="98"/>
      <c r="E38" s="98"/>
      <c r="F38" s="99"/>
      <c r="G38" s="43"/>
      <c r="H38" s="84"/>
      <c r="I38" s="44"/>
      <c r="J38" s="44"/>
      <c r="K38" s="44"/>
      <c r="L38" s="44"/>
      <c r="M38" s="44"/>
      <c r="N38" s="44"/>
      <c r="O38" s="44"/>
      <c r="P38" s="44"/>
    </row>
    <row r="39" spans="1:16" s="83" customFormat="1" ht="12.75">
      <c r="A39" s="97" t="s">
        <v>39</v>
      </c>
      <c r="B39" s="8" t="s">
        <v>164</v>
      </c>
      <c r="C39" s="98"/>
      <c r="D39" s="98"/>
      <c r="E39" s="98"/>
      <c r="F39" s="99"/>
      <c r="G39" s="43"/>
      <c r="H39" s="84"/>
      <c r="I39" s="44"/>
      <c r="J39" s="44"/>
      <c r="K39" s="44"/>
      <c r="L39" s="44"/>
      <c r="M39" s="44"/>
      <c r="N39" s="44"/>
      <c r="O39" s="44"/>
      <c r="P39" s="44"/>
    </row>
    <row r="40" spans="1:16" s="83" customFormat="1" ht="12.75">
      <c r="A40" s="97" t="s">
        <v>79</v>
      </c>
      <c r="B40" s="8" t="s">
        <v>178</v>
      </c>
      <c r="C40" s="98"/>
      <c r="D40" s="98"/>
      <c r="E40" s="98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</row>
    <row r="41" spans="1:16" s="83" customFormat="1" ht="12.75">
      <c r="A41" s="97" t="s">
        <v>80</v>
      </c>
      <c r="B41" s="8" t="s">
        <v>180</v>
      </c>
      <c r="C41" s="98"/>
      <c r="D41" s="98"/>
      <c r="E41" s="98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</row>
    <row r="42" spans="1:16" s="83" customFormat="1" ht="12.75">
      <c r="A42" s="97" t="s">
        <v>32</v>
      </c>
      <c r="B42" s="8" t="s">
        <v>177</v>
      </c>
      <c r="C42" s="100"/>
      <c r="D42" s="98"/>
      <c r="E42" s="98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</row>
    <row r="43" spans="1:16" s="83" customFormat="1" ht="12.75">
      <c r="A43" s="97" t="s">
        <v>176</v>
      </c>
      <c r="B43" s="8" t="s">
        <v>175</v>
      </c>
      <c r="C43" s="100"/>
      <c r="D43" s="98"/>
      <c r="E43" s="98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</row>
    <row r="44" spans="1:16" s="83" customFormat="1" ht="12.75">
      <c r="A44" s="97" t="s">
        <v>33</v>
      </c>
      <c r="B44" s="8" t="s">
        <v>164</v>
      </c>
      <c r="C44" s="101"/>
      <c r="D44" s="101"/>
      <c r="E44" s="101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</row>
    <row r="45" spans="1:16" s="83" customFormat="1" ht="12.75">
      <c r="A45" s="97" t="s">
        <v>34</v>
      </c>
      <c r="B45" s="8" t="s">
        <v>175</v>
      </c>
      <c r="C45" s="101"/>
      <c r="D45" s="101"/>
      <c r="E45" s="101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</row>
    <row r="46" spans="1:16" s="83" customFormat="1" ht="12.75">
      <c r="A46" s="97" t="s">
        <v>35</v>
      </c>
      <c r="B46" s="8" t="s">
        <v>177</v>
      </c>
      <c r="C46" s="101"/>
      <c r="D46" s="101"/>
      <c r="E46" s="101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</row>
    <row r="47" spans="1:16" s="83" customFormat="1" ht="12.75">
      <c r="A47" s="97" t="s">
        <v>36</v>
      </c>
      <c r="B47" s="8" t="s">
        <v>195</v>
      </c>
      <c r="C47" s="101"/>
      <c r="D47" s="101"/>
      <c r="E47" s="101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</row>
    <row r="48" spans="1:16" ht="12.75">
      <c r="A48" s="97" t="s">
        <v>37</v>
      </c>
      <c r="B48" s="8" t="s">
        <v>177</v>
      </c>
      <c r="C48" s="101"/>
      <c r="D48" s="101"/>
      <c r="E48" s="101"/>
      <c r="F48" s="44"/>
      <c r="G48" s="44"/>
      <c r="H48" s="44"/>
      <c r="I48" s="7"/>
      <c r="J48" s="7"/>
      <c r="K48" s="7"/>
      <c r="L48" s="7"/>
      <c r="M48" s="7"/>
      <c r="N48" s="7"/>
      <c r="O48" s="7"/>
      <c r="P48" s="7"/>
    </row>
    <row r="49" spans="1:8" ht="12.75">
      <c r="A49" s="97" t="s">
        <v>38</v>
      </c>
      <c r="B49" s="8" t="s">
        <v>178</v>
      </c>
      <c r="C49" s="101"/>
      <c r="D49" s="101"/>
      <c r="E49" s="26"/>
      <c r="F49" s="44"/>
      <c r="G49" s="44"/>
      <c r="H49" s="44"/>
    </row>
    <row r="50" spans="1:8" ht="12.75">
      <c r="A50" s="97" t="s">
        <v>77</v>
      </c>
      <c r="B50" s="8" t="s">
        <v>179</v>
      </c>
      <c r="C50" s="101"/>
      <c r="D50" s="101"/>
      <c r="E50" s="101"/>
      <c r="F50" s="7"/>
      <c r="G50" s="7"/>
      <c r="H50" s="7"/>
    </row>
    <row r="51" spans="1:5" ht="12.75">
      <c r="A51" s="97" t="s">
        <v>78</v>
      </c>
      <c r="B51" s="8" t="s">
        <v>179</v>
      </c>
      <c r="C51" s="101"/>
      <c r="D51" s="101"/>
      <c r="E51" s="101"/>
    </row>
    <row r="52" spans="1:5" ht="12.75">
      <c r="A52" s="97" t="s">
        <v>41</v>
      </c>
      <c r="B52" s="8" t="s">
        <v>163</v>
      </c>
      <c r="C52" s="101"/>
      <c r="D52" s="101"/>
      <c r="E52" s="101"/>
    </row>
  </sheetData>
  <printOptions gridLines="1"/>
  <pageMargins left="0.75" right="0.75" top="1" bottom="1" header="0.5" footer="0.5"/>
  <pageSetup fitToHeight="1" fitToWidth="1"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workbookViewId="0" topLeftCell="A1">
      <selection activeCell="B20" sqref="B20"/>
    </sheetView>
  </sheetViews>
  <sheetFormatPr defaultColWidth="9.140625" defaultRowHeight="12.75"/>
  <cols>
    <col min="1" max="1" width="35.00390625" style="0" customWidth="1"/>
    <col min="2" max="5" width="8.7109375" style="0" customWidth="1"/>
  </cols>
  <sheetData>
    <row r="1" spans="1:7" ht="18.75">
      <c r="A1" s="9" t="s">
        <v>131</v>
      </c>
      <c r="B1" s="7"/>
      <c r="C1" s="7"/>
      <c r="D1" s="7"/>
      <c r="E1" s="7"/>
      <c r="F1" s="7"/>
      <c r="G1" s="7"/>
    </row>
    <row r="2" spans="1:7" ht="12.75">
      <c r="A2" s="7"/>
      <c r="B2" s="180" t="s">
        <v>123</v>
      </c>
      <c r="C2" s="180"/>
      <c r="D2" s="180"/>
      <c r="E2" s="180"/>
      <c r="F2" s="7"/>
      <c r="G2" s="7"/>
    </row>
    <row r="3" spans="1:7" ht="12.75">
      <c r="A3" s="29"/>
      <c r="B3" s="28">
        <v>1</v>
      </c>
      <c r="C3" s="28">
        <v>2</v>
      </c>
      <c r="D3" s="28">
        <v>3</v>
      </c>
      <c r="E3" s="28">
        <v>4</v>
      </c>
      <c r="F3" s="28" t="s">
        <v>11</v>
      </c>
      <c r="G3" s="24" t="s">
        <v>40</v>
      </c>
    </row>
    <row r="4" spans="1:7" ht="12.75">
      <c r="A4" s="189" t="s">
        <v>112</v>
      </c>
      <c r="B4" s="54">
        <v>32.5</v>
      </c>
      <c r="C4" s="54">
        <v>37</v>
      </c>
      <c r="D4" s="54">
        <v>37.5</v>
      </c>
      <c r="E4" s="54">
        <v>32.5</v>
      </c>
      <c r="F4" s="77">
        <f>AVERAGE(B4:E4)</f>
        <v>34.875</v>
      </c>
      <c r="G4" s="33">
        <f aca="true" t="shared" si="0" ref="G4:G16">RANK(F4,$F$4:$F$16)</f>
        <v>10</v>
      </c>
    </row>
    <row r="5" spans="1:7" ht="12.75">
      <c r="A5" s="189" t="s">
        <v>121</v>
      </c>
      <c r="B5" s="54">
        <v>40</v>
      </c>
      <c r="C5" s="54">
        <v>47.5</v>
      </c>
      <c r="D5" s="54">
        <v>47.5</v>
      </c>
      <c r="E5" s="54">
        <v>42</v>
      </c>
      <c r="F5" s="77">
        <f aca="true" t="shared" si="1" ref="F5:F16">AVERAGE(B5:E5)</f>
        <v>44.25</v>
      </c>
      <c r="G5" s="33">
        <f t="shared" si="0"/>
        <v>1</v>
      </c>
    </row>
    <row r="6" spans="1:7" ht="12.75">
      <c r="A6" t="s">
        <v>149</v>
      </c>
      <c r="B6" s="54">
        <v>26.5</v>
      </c>
      <c r="C6" s="54">
        <v>38.5</v>
      </c>
      <c r="D6" s="54">
        <v>15</v>
      </c>
      <c r="E6" s="54">
        <v>30</v>
      </c>
      <c r="F6" s="77">
        <f t="shared" si="1"/>
        <v>27.5</v>
      </c>
      <c r="G6" s="33">
        <f t="shared" si="0"/>
        <v>12</v>
      </c>
    </row>
    <row r="7" spans="1:7" ht="12.75">
      <c r="A7" s="189" t="s">
        <v>113</v>
      </c>
      <c r="B7" s="54">
        <v>43</v>
      </c>
      <c r="C7" s="54">
        <v>37.5</v>
      </c>
      <c r="D7" s="54">
        <v>42.5</v>
      </c>
      <c r="E7" s="54">
        <v>39.5</v>
      </c>
      <c r="F7" s="77">
        <f t="shared" si="1"/>
        <v>40.625</v>
      </c>
      <c r="G7" s="33">
        <f t="shared" si="0"/>
        <v>5</v>
      </c>
    </row>
    <row r="8" spans="1:7" ht="12.75">
      <c r="A8" s="189" t="s">
        <v>114</v>
      </c>
      <c r="B8" s="54">
        <v>42.5</v>
      </c>
      <c r="C8" s="54">
        <v>40</v>
      </c>
      <c r="D8" s="54">
        <v>40</v>
      </c>
      <c r="E8" s="54">
        <v>32.5</v>
      </c>
      <c r="F8" s="77">
        <f t="shared" si="1"/>
        <v>38.75</v>
      </c>
      <c r="G8" s="33">
        <f t="shared" si="0"/>
        <v>6</v>
      </c>
    </row>
    <row r="9" spans="1:7" ht="12.75">
      <c r="A9" s="189" t="s">
        <v>115</v>
      </c>
      <c r="B9" s="54">
        <v>30</v>
      </c>
      <c r="C9" s="54">
        <v>42.5</v>
      </c>
      <c r="D9" s="54">
        <v>35</v>
      </c>
      <c r="E9" s="54">
        <v>37.5</v>
      </c>
      <c r="F9" s="77">
        <f t="shared" si="1"/>
        <v>36.25</v>
      </c>
      <c r="G9" s="33">
        <f t="shared" si="0"/>
        <v>8</v>
      </c>
    </row>
    <row r="10" spans="1:7" ht="25.5">
      <c r="A10" s="189" t="s">
        <v>116</v>
      </c>
      <c r="B10" s="54">
        <v>32.5</v>
      </c>
      <c r="C10" s="54">
        <v>25</v>
      </c>
      <c r="D10" s="54">
        <v>47.5</v>
      </c>
      <c r="E10" s="54">
        <v>37.5</v>
      </c>
      <c r="F10" s="77">
        <f t="shared" si="1"/>
        <v>35.625</v>
      </c>
      <c r="G10" s="33">
        <f t="shared" si="0"/>
        <v>9</v>
      </c>
    </row>
    <row r="11" spans="1:7" ht="12.75">
      <c r="A11" s="189" t="s">
        <v>117</v>
      </c>
      <c r="B11" s="54">
        <v>42.5</v>
      </c>
      <c r="C11" s="54">
        <v>39.5</v>
      </c>
      <c r="D11" s="54">
        <v>35</v>
      </c>
      <c r="E11" s="54">
        <v>46.5</v>
      </c>
      <c r="F11" s="77">
        <f t="shared" si="1"/>
        <v>40.875</v>
      </c>
      <c r="G11" s="33">
        <f t="shared" si="0"/>
        <v>4</v>
      </c>
    </row>
    <row r="12" spans="1:7" ht="12.75">
      <c r="A12" s="189" t="s">
        <v>122</v>
      </c>
      <c r="B12" s="54">
        <v>37.5</v>
      </c>
      <c r="C12" s="54">
        <v>42.5</v>
      </c>
      <c r="D12" s="54">
        <v>39.5</v>
      </c>
      <c r="E12" s="54">
        <v>34</v>
      </c>
      <c r="F12" s="77">
        <f t="shared" si="1"/>
        <v>38.375</v>
      </c>
      <c r="G12" s="33">
        <f t="shared" si="0"/>
        <v>7</v>
      </c>
    </row>
    <row r="13" spans="1:7" ht="12.75">
      <c r="A13" s="189" t="s">
        <v>118</v>
      </c>
      <c r="B13" s="54">
        <v>37.5</v>
      </c>
      <c r="C13" s="54">
        <v>47.5</v>
      </c>
      <c r="D13" s="54">
        <v>42.5</v>
      </c>
      <c r="E13" s="54">
        <v>42.5</v>
      </c>
      <c r="F13" s="77">
        <f t="shared" si="1"/>
        <v>42.5</v>
      </c>
      <c r="G13" s="33">
        <f t="shared" si="0"/>
        <v>2</v>
      </c>
    </row>
    <row r="14" spans="1:7" ht="12.75">
      <c r="A14" s="189" t="s">
        <v>111</v>
      </c>
      <c r="B14" s="54">
        <v>40</v>
      </c>
      <c r="C14" s="54">
        <v>42.5</v>
      </c>
      <c r="D14" s="54">
        <v>47.5</v>
      </c>
      <c r="E14" s="54">
        <v>39</v>
      </c>
      <c r="F14" s="77">
        <f t="shared" si="1"/>
        <v>42.25</v>
      </c>
      <c r="G14" s="33">
        <f t="shared" si="0"/>
        <v>3</v>
      </c>
    </row>
    <row r="15" spans="1:7" ht="12.75">
      <c r="A15" s="189" t="s">
        <v>119</v>
      </c>
      <c r="B15" s="54">
        <v>37</v>
      </c>
      <c r="C15" s="54">
        <v>30</v>
      </c>
      <c r="D15" s="54">
        <v>22.5</v>
      </c>
      <c r="E15" s="54">
        <v>40</v>
      </c>
      <c r="F15" s="77">
        <f t="shared" si="1"/>
        <v>32.375</v>
      </c>
      <c r="G15" s="33">
        <f t="shared" si="0"/>
        <v>11</v>
      </c>
    </row>
    <row r="16" spans="1:7" ht="12.75">
      <c r="A16" s="189" t="s">
        <v>120</v>
      </c>
      <c r="B16" s="54">
        <v>39.5</v>
      </c>
      <c r="C16" s="54">
        <v>10</v>
      </c>
      <c r="D16" s="54">
        <v>9</v>
      </c>
      <c r="E16" s="54">
        <v>30</v>
      </c>
      <c r="F16" s="77">
        <f t="shared" si="1"/>
        <v>22.125</v>
      </c>
      <c r="G16" s="33">
        <f t="shared" si="0"/>
        <v>13</v>
      </c>
    </row>
    <row r="17" spans="1:6" ht="12.75">
      <c r="A17" s="27"/>
      <c r="E17" t="s">
        <v>158</v>
      </c>
      <c r="F17" s="2"/>
    </row>
    <row r="18" spans="1:6" ht="12.75">
      <c r="A18" s="27"/>
      <c r="F18" s="2"/>
    </row>
    <row r="19" spans="1:2" ht="12.75">
      <c r="A19" s="27"/>
      <c r="B19" s="192"/>
    </row>
    <row r="20" spans="1:2" ht="12.75">
      <c r="A20" s="27"/>
      <c r="B20" s="192"/>
    </row>
    <row r="21" ht="12.75">
      <c r="A21" s="27"/>
    </row>
    <row r="22" ht="12.75">
      <c r="A22" s="27"/>
    </row>
    <row r="23" ht="12.75">
      <c r="A23" s="27"/>
    </row>
    <row r="24" ht="12.75">
      <c r="A24" s="27"/>
    </row>
    <row r="25" ht="12.75">
      <c r="A25" s="27"/>
    </row>
    <row r="26" ht="12.75">
      <c r="A26" s="27"/>
    </row>
    <row r="27" ht="12.75">
      <c r="A27" s="27"/>
    </row>
  </sheetData>
  <printOptions/>
  <pageMargins left="0.75" right="0.75" top="1" bottom="1" header="0.5" footer="0.5"/>
  <pageSetup fitToHeight="1" fitToWidth="1"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workbookViewId="0" topLeftCell="A1">
      <selection activeCell="E19" sqref="E19"/>
    </sheetView>
  </sheetViews>
  <sheetFormatPr defaultColWidth="9.140625" defaultRowHeight="12.75"/>
  <cols>
    <col min="1" max="1" width="35.7109375" style="0" customWidth="1"/>
    <col min="2" max="2" width="15.421875" style="0" customWidth="1"/>
    <col min="3" max="4" width="11.140625" style="0" customWidth="1"/>
  </cols>
  <sheetData>
    <row r="1" spans="1:5" ht="18.75">
      <c r="A1" s="9" t="s">
        <v>130</v>
      </c>
      <c r="B1" s="7"/>
      <c r="C1" s="7"/>
      <c r="D1" s="7"/>
      <c r="E1" s="7"/>
    </row>
    <row r="2" spans="1:5" s="83" customFormat="1" ht="12.75">
      <c r="A2" s="44"/>
      <c r="B2" s="44"/>
      <c r="C2" s="44"/>
      <c r="D2" s="44"/>
      <c r="E2" s="44"/>
    </row>
    <row r="3" spans="1:5" s="83" customFormat="1" ht="12.75">
      <c r="A3" s="44"/>
      <c r="B3" s="44"/>
      <c r="C3" s="84" t="s">
        <v>63</v>
      </c>
      <c r="D3" s="102">
        <f>MAX(B7:B19)</f>
        <v>1592.36</v>
      </c>
      <c r="E3" s="44"/>
    </row>
    <row r="4" spans="1:5" s="83" customFormat="1" ht="12.75">
      <c r="A4" s="44"/>
      <c r="B4" s="44"/>
      <c r="C4" s="84" t="s">
        <v>64</v>
      </c>
      <c r="D4" s="102">
        <f>MIN(B7:B19)</f>
        <v>886.8</v>
      </c>
      <c r="E4" s="44"/>
    </row>
    <row r="5" spans="1:5" s="83" customFormat="1" ht="12.75">
      <c r="A5" s="29"/>
      <c r="B5" s="29"/>
      <c r="C5" s="29"/>
      <c r="D5" s="29"/>
      <c r="E5" s="44"/>
    </row>
    <row r="6" spans="1:5" ht="12.75">
      <c r="A6" s="29"/>
      <c r="B6" s="45" t="s">
        <v>43</v>
      </c>
      <c r="C6" s="28" t="s">
        <v>11</v>
      </c>
      <c r="D6" s="28" t="s">
        <v>40</v>
      </c>
      <c r="E6" s="7"/>
    </row>
    <row r="7" spans="1:5" ht="12.75">
      <c r="A7" s="189" t="s">
        <v>112</v>
      </c>
      <c r="B7" s="82">
        <v>1317.272</v>
      </c>
      <c r="C7" s="70">
        <f>50*(($D$3/B7)^2-1)/(($D$3/$D$4)^2-1)</f>
        <v>10.36911413043832</v>
      </c>
      <c r="D7" s="60">
        <f aca="true" t="shared" si="0" ref="D7:D19">RANK(C7,$C$7:$C$19)</f>
        <v>10</v>
      </c>
      <c r="E7" s="7"/>
    </row>
    <row r="8" spans="1:5" ht="12.75">
      <c r="A8" s="189" t="s">
        <v>121</v>
      </c>
      <c r="B8" s="82">
        <v>1228.54</v>
      </c>
      <c r="C8" s="70">
        <f aca="true" t="shared" si="1" ref="C8:C19">50*(($D$3/B8)^2-1)/(($D$3/$D$4)^2-1)</f>
        <v>15.285460369391576</v>
      </c>
      <c r="D8" s="60">
        <f t="shared" si="0"/>
        <v>6</v>
      </c>
      <c r="E8" s="7"/>
    </row>
    <row r="9" spans="1:5" ht="12.75">
      <c r="A9" t="s">
        <v>149</v>
      </c>
      <c r="B9" s="82">
        <v>1102.67</v>
      </c>
      <c r="C9" s="70">
        <f t="shared" si="1"/>
        <v>24.399256170337313</v>
      </c>
      <c r="D9" s="60">
        <f t="shared" si="0"/>
        <v>4</v>
      </c>
      <c r="E9" s="7"/>
    </row>
    <row r="10" spans="1:5" ht="12.75">
      <c r="A10" s="189" t="s">
        <v>113</v>
      </c>
      <c r="B10" s="82">
        <v>1285.58</v>
      </c>
      <c r="C10" s="70">
        <f t="shared" si="1"/>
        <v>12.008629040457631</v>
      </c>
      <c r="D10" s="60">
        <f t="shared" si="0"/>
        <v>8</v>
      </c>
      <c r="E10" s="7"/>
    </row>
    <row r="11" spans="1:5" ht="12.75">
      <c r="A11" s="189" t="s">
        <v>114</v>
      </c>
      <c r="B11" s="82">
        <v>1488.2</v>
      </c>
      <c r="C11" s="70">
        <f t="shared" si="1"/>
        <v>3.2567986419553105</v>
      </c>
      <c r="D11" s="60">
        <f t="shared" si="0"/>
        <v>12</v>
      </c>
      <c r="E11" s="7"/>
    </row>
    <row r="12" spans="1:5" ht="12.75">
      <c r="A12" s="189" t="s">
        <v>115</v>
      </c>
      <c r="B12" s="82">
        <v>886.8</v>
      </c>
      <c r="C12" s="70">
        <f t="shared" si="1"/>
        <v>50</v>
      </c>
      <c r="D12" s="60">
        <f t="shared" si="0"/>
        <v>1</v>
      </c>
      <c r="E12" s="7"/>
    </row>
    <row r="13" spans="1:5" ht="12.75">
      <c r="A13" s="189" t="s">
        <v>116</v>
      </c>
      <c r="B13" s="82">
        <v>1026.45</v>
      </c>
      <c r="C13" s="70">
        <f t="shared" si="1"/>
        <v>31.619764153925022</v>
      </c>
      <c r="D13" s="60">
        <f t="shared" si="0"/>
        <v>3</v>
      </c>
      <c r="E13" s="7"/>
    </row>
    <row r="14" spans="1:5" ht="12.75">
      <c r="A14" s="189" t="s">
        <v>117</v>
      </c>
      <c r="B14" s="82">
        <v>1161.51</v>
      </c>
      <c r="C14" s="70">
        <f t="shared" si="1"/>
        <v>19.769991898523045</v>
      </c>
      <c r="D14" s="60">
        <f t="shared" si="0"/>
        <v>5</v>
      </c>
      <c r="E14" s="7"/>
    </row>
    <row r="15" spans="1:5" ht="12.75">
      <c r="A15" s="189" t="s">
        <v>122</v>
      </c>
      <c r="B15" s="82">
        <v>1269</v>
      </c>
      <c r="C15" s="70">
        <f t="shared" si="1"/>
        <v>12.915713986828072</v>
      </c>
      <c r="D15" s="60">
        <f t="shared" si="0"/>
        <v>7</v>
      </c>
      <c r="E15" s="7"/>
    </row>
    <row r="16" spans="1:5" ht="12.75">
      <c r="A16" s="189" t="s">
        <v>118</v>
      </c>
      <c r="B16" s="82">
        <v>1295</v>
      </c>
      <c r="C16" s="70">
        <f t="shared" si="1"/>
        <v>11.50871439164412</v>
      </c>
      <c r="D16" s="60">
        <f t="shared" si="0"/>
        <v>9</v>
      </c>
      <c r="E16" s="7"/>
    </row>
    <row r="17" spans="1:5" ht="12.75">
      <c r="A17" s="189" t="s">
        <v>111</v>
      </c>
      <c r="B17" s="82">
        <v>929.16</v>
      </c>
      <c r="C17" s="70">
        <f t="shared" si="1"/>
        <v>43.54204172450621</v>
      </c>
      <c r="D17" s="60">
        <f t="shared" si="0"/>
        <v>2</v>
      </c>
      <c r="E17" s="7"/>
    </row>
    <row r="18" spans="1:5" ht="12.75">
      <c r="A18" s="189" t="s">
        <v>119</v>
      </c>
      <c r="B18" s="82">
        <v>1592.36</v>
      </c>
      <c r="C18" s="70">
        <f t="shared" si="1"/>
        <v>0</v>
      </c>
      <c r="D18" s="60">
        <f t="shared" si="0"/>
        <v>13</v>
      </c>
      <c r="E18" s="7"/>
    </row>
    <row r="19" spans="1:5" ht="12.75">
      <c r="A19" s="189" t="s">
        <v>120</v>
      </c>
      <c r="B19" s="82">
        <v>1338</v>
      </c>
      <c r="C19" s="70">
        <f t="shared" si="1"/>
        <v>9.359236732049913</v>
      </c>
      <c r="D19" s="60">
        <f t="shared" si="0"/>
        <v>11</v>
      </c>
      <c r="E19" s="7"/>
    </row>
    <row r="20" spans="1:5" ht="12.75">
      <c r="A20" s="27"/>
      <c r="B20" s="57"/>
      <c r="C20" s="46"/>
      <c r="D20" s="60"/>
      <c r="E20" s="7"/>
    </row>
    <row r="21" spans="1:5" ht="12.75">
      <c r="A21" s="27"/>
      <c r="B21" s="191"/>
      <c r="C21" s="46"/>
      <c r="D21" s="60"/>
      <c r="E21" s="7"/>
    </row>
    <row r="22" spans="1:5" ht="12.75">
      <c r="A22" s="27"/>
      <c r="B22" s="191"/>
      <c r="C22" s="46"/>
      <c r="D22" s="60"/>
      <c r="E22" s="7"/>
    </row>
    <row r="23" spans="1:5" ht="12.75">
      <c r="A23" s="27"/>
      <c r="B23" s="191"/>
      <c r="C23" s="46"/>
      <c r="D23" s="60"/>
      <c r="E23" s="7"/>
    </row>
    <row r="24" spans="1:5" ht="12.75">
      <c r="A24" s="27"/>
      <c r="B24" s="191"/>
      <c r="C24" s="46"/>
      <c r="D24" s="60"/>
      <c r="E24" s="7"/>
    </row>
    <row r="25" spans="1:5" ht="12.75">
      <c r="A25" s="27"/>
      <c r="B25" s="191"/>
      <c r="C25" s="46"/>
      <c r="D25" s="60"/>
      <c r="E25" s="7"/>
    </row>
    <row r="26" spans="1:5" ht="12.75">
      <c r="A26" s="27"/>
      <c r="B26" s="191"/>
      <c r="C26" s="46"/>
      <c r="D26" s="60"/>
      <c r="E26" s="7"/>
    </row>
    <row r="27" spans="1:5" ht="12.75">
      <c r="A27" s="27"/>
      <c r="B27" s="191"/>
      <c r="C27" s="46"/>
      <c r="D27" s="60"/>
      <c r="E27" s="7"/>
    </row>
    <row r="28" spans="1:5" ht="12.75">
      <c r="A28" s="27"/>
      <c r="B28" s="191"/>
      <c r="C28" s="46"/>
      <c r="D28" s="60"/>
      <c r="E28" s="7"/>
    </row>
    <row r="29" spans="1:5" ht="12.75">
      <c r="A29" s="27"/>
      <c r="B29" s="57"/>
      <c r="C29" s="46"/>
      <c r="D29" s="60"/>
      <c r="E29" s="7"/>
    </row>
    <row r="30" spans="1:5" ht="12.75">
      <c r="A30" s="27"/>
      <c r="B30" s="57"/>
      <c r="C30" s="46"/>
      <c r="D30" s="60"/>
      <c r="E30" s="7"/>
    </row>
    <row r="31" spans="1:5" ht="12.75">
      <c r="A31" s="27"/>
      <c r="B31" s="57"/>
      <c r="C31" s="46"/>
      <c r="D31" s="60"/>
      <c r="E31" s="7"/>
    </row>
    <row r="32" spans="1:5" ht="12.75">
      <c r="A32" s="27"/>
      <c r="B32" s="57"/>
      <c r="C32" s="46"/>
      <c r="D32" s="60"/>
      <c r="E32" s="7"/>
    </row>
    <row r="33" spans="1:4" ht="12.75">
      <c r="A33" s="27"/>
      <c r="B33" s="58"/>
      <c r="C33" s="46"/>
      <c r="D33" s="60"/>
    </row>
    <row r="34" spans="1:4" ht="12.75">
      <c r="A34" s="1"/>
      <c r="B34" s="1"/>
      <c r="C34" s="29"/>
      <c r="D34" s="1"/>
    </row>
    <row r="35" spans="1:4" ht="12.75">
      <c r="A35" s="1"/>
      <c r="B35" s="1"/>
      <c r="C35" s="1"/>
      <c r="D35" s="1"/>
    </row>
    <row r="36" spans="1:4" ht="12.75">
      <c r="A36" s="1"/>
      <c r="B36" s="1"/>
      <c r="C36" s="1"/>
      <c r="D36" s="1"/>
    </row>
  </sheetData>
  <printOptions/>
  <pageMargins left="0.75" right="0.75" top="1" bottom="1" header="0.5" footer="0.5"/>
  <pageSetup fitToHeight="1" fitToWidth="1"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workbookViewId="0" topLeftCell="A1">
      <selection activeCell="A19" sqref="A19"/>
    </sheetView>
  </sheetViews>
  <sheetFormatPr defaultColWidth="9.140625" defaultRowHeight="12.75"/>
  <cols>
    <col min="1" max="1" width="34.28125" style="0" customWidth="1"/>
    <col min="2" max="2" width="10.57421875" style="0" customWidth="1"/>
    <col min="3" max="3" width="14.8515625" style="0" customWidth="1"/>
    <col min="4" max="4" width="10.140625" style="0" customWidth="1"/>
    <col min="5" max="5" width="12.421875" style="0" customWidth="1"/>
    <col min="7" max="7" width="7.140625" style="0" customWidth="1"/>
    <col min="10" max="10" width="19.140625" style="0" customWidth="1"/>
  </cols>
  <sheetData>
    <row r="1" spans="1:10" ht="18.75">
      <c r="A1" s="9" t="s">
        <v>129</v>
      </c>
      <c r="B1" s="9"/>
      <c r="C1" s="7"/>
      <c r="D1" s="7" t="s">
        <v>0</v>
      </c>
      <c r="E1" s="179">
        <f>MAX(C6:C18)</f>
        <v>7.23</v>
      </c>
      <c r="F1" s="7" t="s">
        <v>13</v>
      </c>
      <c r="G1" s="78" t="s">
        <v>44</v>
      </c>
      <c r="J1" s="79"/>
    </row>
    <row r="2" spans="1:10" ht="12.75">
      <c r="A2" s="7"/>
      <c r="B2" s="7"/>
      <c r="C2" s="7"/>
      <c r="D2" s="7" t="s">
        <v>1</v>
      </c>
      <c r="E2" s="179">
        <f>MIN(C6:C18)</f>
        <v>5.5</v>
      </c>
      <c r="F2" s="7" t="s">
        <v>13</v>
      </c>
      <c r="G2" s="78" t="s">
        <v>45</v>
      </c>
      <c r="J2" s="79"/>
    </row>
    <row r="3" spans="1:10" ht="12.75">
      <c r="A3" s="12"/>
      <c r="B3" s="12"/>
      <c r="C3" s="59"/>
      <c r="D3" s="7" t="s">
        <v>15</v>
      </c>
      <c r="E3" s="157">
        <v>100.1</v>
      </c>
      <c r="F3" s="7" t="s">
        <v>14</v>
      </c>
      <c r="G3" s="78" t="s">
        <v>46</v>
      </c>
      <c r="J3" s="79"/>
    </row>
    <row r="4" spans="1:11" ht="12.75">
      <c r="A4" s="14"/>
      <c r="B4" s="14"/>
      <c r="C4" s="14"/>
      <c r="D4" s="14"/>
      <c r="E4" s="7"/>
      <c r="F4" s="7"/>
      <c r="I4" s="7"/>
      <c r="J4" s="80"/>
      <c r="K4" s="80"/>
    </row>
    <row r="5" spans="1:11" ht="38.25">
      <c r="A5" s="13"/>
      <c r="B5" s="45" t="s">
        <v>75</v>
      </c>
      <c r="C5" s="45" t="s">
        <v>50</v>
      </c>
      <c r="D5" s="45" t="s">
        <v>12</v>
      </c>
      <c r="E5" s="42" t="s">
        <v>11</v>
      </c>
      <c r="F5" s="42" t="s">
        <v>40</v>
      </c>
      <c r="H5" s="42" t="s">
        <v>47</v>
      </c>
      <c r="K5" s="42"/>
    </row>
    <row r="6" spans="1:11" ht="12.75">
      <c r="A6" s="189" t="s">
        <v>112</v>
      </c>
      <c r="B6" s="27" t="s">
        <v>85</v>
      </c>
      <c r="C6" s="151">
        <v>5.73</v>
      </c>
      <c r="D6" s="20">
        <f aca="true" t="shared" si="0" ref="D6:D13">$E$3/C6</f>
        <v>17.469458987783593</v>
      </c>
      <c r="E6" s="21">
        <f aca="true" t="shared" si="1" ref="E6:E12">100+(((($E$1/C6)^2-1)/(($E$1/$E$2)^2-1))*100)</f>
        <v>181.32758736395166</v>
      </c>
      <c r="F6" s="25">
        <f aca="true" t="shared" si="2" ref="F6:F13">RANK(E6,$E$6:$E$18)</f>
        <v>4</v>
      </c>
      <c r="H6" s="81">
        <f aca="true" t="shared" si="3" ref="H6:H12">(D6-$D$19)/$D$19</f>
        <v>-0.8254799301919721</v>
      </c>
      <c r="K6" s="7"/>
    </row>
    <row r="7" spans="1:11" ht="12.75">
      <c r="A7" s="189" t="s">
        <v>121</v>
      </c>
      <c r="B7" s="27" t="s">
        <v>85</v>
      </c>
      <c r="C7" s="151"/>
      <c r="D7" s="20"/>
      <c r="E7" s="21"/>
      <c r="F7" s="25"/>
      <c r="H7" s="81" t="s">
        <v>74</v>
      </c>
      <c r="K7" s="7"/>
    </row>
    <row r="8" spans="1:11" ht="12.75">
      <c r="A8" t="s">
        <v>149</v>
      </c>
      <c r="B8" s="27" t="s">
        <v>85</v>
      </c>
      <c r="C8" s="151">
        <v>5.61</v>
      </c>
      <c r="D8" s="20">
        <f t="shared" si="0"/>
        <v>17.843137254901958</v>
      </c>
      <c r="E8" s="21">
        <f t="shared" si="1"/>
        <v>190.7831374831429</v>
      </c>
      <c r="F8" s="25">
        <f t="shared" si="2"/>
        <v>3</v>
      </c>
      <c r="H8" s="81">
        <f t="shared" si="3"/>
        <v>-0.82174688057041</v>
      </c>
      <c r="K8" s="7"/>
    </row>
    <row r="9" spans="1:11" ht="12.75">
      <c r="A9" s="189" t="s">
        <v>113</v>
      </c>
      <c r="B9" s="27" t="s">
        <v>85</v>
      </c>
      <c r="C9" s="151">
        <v>5.5</v>
      </c>
      <c r="D9" s="20">
        <f t="shared" si="0"/>
        <v>18.2</v>
      </c>
      <c r="E9" s="21">
        <f t="shared" si="1"/>
        <v>200</v>
      </c>
      <c r="F9" s="25">
        <f t="shared" si="2"/>
        <v>1</v>
      </c>
      <c r="H9" s="81">
        <f t="shared" si="3"/>
        <v>-0.8181818181818181</v>
      </c>
      <c r="K9" s="7"/>
    </row>
    <row r="10" spans="1:11" ht="12.75">
      <c r="A10" s="189" t="s">
        <v>114</v>
      </c>
      <c r="B10" s="27" t="s">
        <v>85</v>
      </c>
      <c r="C10" s="151">
        <v>5.77</v>
      </c>
      <c r="D10" s="20">
        <f t="shared" si="0"/>
        <v>17.34835355285962</v>
      </c>
      <c r="E10" s="21">
        <f t="shared" si="1"/>
        <v>178.30607463460075</v>
      </c>
      <c r="F10" s="25">
        <f t="shared" si="2"/>
        <v>5</v>
      </c>
      <c r="H10" s="81">
        <f t="shared" si="3"/>
        <v>-0.8266897746967071</v>
      </c>
      <c r="K10" s="7"/>
    </row>
    <row r="11" spans="1:11" ht="12.75">
      <c r="A11" s="189" t="s">
        <v>115</v>
      </c>
      <c r="B11" s="27" t="s">
        <v>85</v>
      </c>
      <c r="C11" s="151"/>
      <c r="D11" s="20"/>
      <c r="E11" s="21"/>
      <c r="F11" s="25"/>
      <c r="H11" s="81" t="s">
        <v>74</v>
      </c>
      <c r="K11" s="7"/>
    </row>
    <row r="12" spans="1:11" ht="25.5">
      <c r="A12" s="189" t="s">
        <v>116</v>
      </c>
      <c r="B12" s="27" t="s">
        <v>85</v>
      </c>
      <c r="C12" s="151">
        <v>7.23</v>
      </c>
      <c r="D12" s="20">
        <f t="shared" si="0"/>
        <v>13.845089903181188</v>
      </c>
      <c r="E12" s="21">
        <f t="shared" si="1"/>
        <v>100</v>
      </c>
      <c r="F12" s="25">
        <f t="shared" si="2"/>
        <v>6</v>
      </c>
      <c r="H12" s="81">
        <f t="shared" si="3"/>
        <v>-0.8616874135546334</v>
      </c>
      <c r="K12" s="7"/>
    </row>
    <row r="13" spans="1:11" ht="12.75">
      <c r="A13" s="189" t="s">
        <v>117</v>
      </c>
      <c r="B13" s="27" t="s">
        <v>85</v>
      </c>
      <c r="C13" s="151">
        <v>5.57</v>
      </c>
      <c r="D13" s="20">
        <f t="shared" si="0"/>
        <v>17.971274685816873</v>
      </c>
      <c r="E13" s="21">
        <f>100+(((($E$1/C13)^2-1)/(($E$1/$E$2)^2-1))*100)</f>
        <v>194.07160191452195</v>
      </c>
      <c r="F13" s="25">
        <f t="shared" si="2"/>
        <v>2</v>
      </c>
      <c r="H13" s="81">
        <f>(D13-$D$19)/$D$19</f>
        <v>-0.8204667863554759</v>
      </c>
      <c r="K13" s="7"/>
    </row>
    <row r="14" spans="1:11" ht="12.75">
      <c r="A14" s="189" t="s">
        <v>122</v>
      </c>
      <c r="B14" s="27" t="s">
        <v>85</v>
      </c>
      <c r="C14" s="151"/>
      <c r="D14" s="20"/>
      <c r="E14" s="21"/>
      <c r="F14" s="25"/>
      <c r="H14" s="81" t="s">
        <v>74</v>
      </c>
      <c r="K14" s="7"/>
    </row>
    <row r="15" spans="1:11" ht="12.75">
      <c r="A15" s="189" t="s">
        <v>118</v>
      </c>
      <c r="B15" s="27" t="s">
        <v>86</v>
      </c>
      <c r="C15" s="151"/>
      <c r="D15" s="20"/>
      <c r="E15" s="21"/>
      <c r="F15" s="25"/>
      <c r="G15" s="156"/>
      <c r="H15" s="81" t="s">
        <v>74</v>
      </c>
      <c r="K15" s="7"/>
    </row>
    <row r="16" spans="1:11" ht="12.75">
      <c r="A16" s="189" t="s">
        <v>111</v>
      </c>
      <c r="B16" s="27" t="s">
        <v>85</v>
      </c>
      <c r="C16" s="151"/>
      <c r="D16" s="20"/>
      <c r="E16" s="21"/>
      <c r="F16" s="25"/>
      <c r="H16" s="81" t="s">
        <v>74</v>
      </c>
      <c r="K16" s="7"/>
    </row>
    <row r="17" spans="1:11" ht="12.75">
      <c r="A17" s="189" t="s">
        <v>119</v>
      </c>
      <c r="B17" s="27" t="s">
        <v>85</v>
      </c>
      <c r="C17" s="151"/>
      <c r="D17" s="20"/>
      <c r="E17" s="21"/>
      <c r="F17" s="25"/>
      <c r="H17" s="151" t="s">
        <v>74</v>
      </c>
      <c r="K17" s="7"/>
    </row>
    <row r="18" spans="1:10" ht="12.75">
      <c r="A18" s="189" t="s">
        <v>120</v>
      </c>
      <c r="B18" s="27" t="s">
        <v>150</v>
      </c>
      <c r="C18" s="151"/>
      <c r="D18" s="20"/>
      <c r="E18" s="21"/>
      <c r="F18" s="25"/>
      <c r="G18" s="23"/>
      <c r="H18" s="151" t="s">
        <v>74</v>
      </c>
      <c r="I18" s="22"/>
      <c r="J18" s="4"/>
    </row>
    <row r="19" spans="1:9" ht="12.75">
      <c r="A19" s="14" t="s">
        <v>191</v>
      </c>
      <c r="B19" s="14" t="s">
        <v>85</v>
      </c>
      <c r="C19" s="151">
        <v>5.23</v>
      </c>
      <c r="D19" s="20">
        <v>100.1</v>
      </c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ht="12.75">
      <c r="D24" s="7"/>
    </row>
    <row r="26" ht="12.75">
      <c r="B26" s="192"/>
    </row>
  </sheetData>
  <printOptions/>
  <pageMargins left="0.75" right="0.75" top="1" bottom="1" header="0.5" footer="0.5"/>
  <pageSetup fitToHeight="1" fitToWidth="1" horizontalDpi="300" verticalDpi="300" orientation="landscape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workbookViewId="0" topLeftCell="A1">
      <selection activeCell="A1" sqref="A1"/>
    </sheetView>
  </sheetViews>
  <sheetFormatPr defaultColWidth="9.140625" defaultRowHeight="12.75"/>
  <cols>
    <col min="1" max="1" width="33.28125" style="0" customWidth="1"/>
    <col min="2" max="2" width="10.7109375" style="0" customWidth="1"/>
    <col min="4" max="4" width="11.57421875" style="0" customWidth="1"/>
    <col min="5" max="6" width="7.421875" style="0" customWidth="1"/>
    <col min="7" max="7" width="10.00390625" style="0" bestFit="1" customWidth="1"/>
    <col min="8" max="11" width="7.421875" style="0" customWidth="1"/>
    <col min="12" max="12" width="8.140625" style="0" customWidth="1"/>
    <col min="13" max="13" width="10.57421875" style="0" customWidth="1"/>
    <col min="14" max="14" width="8.28125" style="0" customWidth="1"/>
  </cols>
  <sheetData>
    <row r="1" spans="1:14" ht="18.75">
      <c r="A1" s="52" t="s">
        <v>128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2.75">
      <c r="A2" s="2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49"/>
      <c r="N2" s="49"/>
    </row>
    <row r="3" spans="1:14" ht="38.25">
      <c r="A3" s="27"/>
      <c r="B3" s="190" t="s">
        <v>160</v>
      </c>
      <c r="C3" s="190" t="s">
        <v>104</v>
      </c>
      <c r="D3" s="190" t="s">
        <v>159</v>
      </c>
      <c r="E3" s="190" t="s">
        <v>98</v>
      </c>
      <c r="F3" s="190" t="s">
        <v>124</v>
      </c>
      <c r="G3" s="190" t="s">
        <v>125</v>
      </c>
      <c r="H3" s="190" t="s">
        <v>100</v>
      </c>
      <c r="I3" s="190" t="s">
        <v>161</v>
      </c>
      <c r="J3" s="190" t="s">
        <v>102</v>
      </c>
      <c r="K3" s="190" t="s">
        <v>107</v>
      </c>
      <c r="L3" s="190" t="s">
        <v>126</v>
      </c>
      <c r="M3" s="50" t="s">
        <v>11</v>
      </c>
      <c r="N3" s="53" t="s">
        <v>40</v>
      </c>
    </row>
    <row r="4" spans="1:14" ht="12.75">
      <c r="A4" s="189" t="s">
        <v>112</v>
      </c>
      <c r="B4" s="54">
        <v>77.5</v>
      </c>
      <c r="C4" s="54"/>
      <c r="D4" s="54">
        <v>77.5</v>
      </c>
      <c r="E4" s="54">
        <v>75</v>
      </c>
      <c r="F4" s="54">
        <v>85</v>
      </c>
      <c r="G4" s="54">
        <v>65</v>
      </c>
      <c r="H4" s="54"/>
      <c r="I4" s="54">
        <v>74</v>
      </c>
      <c r="J4" s="54">
        <v>79</v>
      </c>
      <c r="K4" s="54"/>
      <c r="L4" s="54">
        <v>70</v>
      </c>
      <c r="M4" s="51">
        <f aca="true" t="shared" si="0" ref="M4:M16">AVERAGE(B4:L4)</f>
        <v>75.375</v>
      </c>
      <c r="N4" s="55">
        <f>RANK(M4,$M$4:$M$18)</f>
        <v>2</v>
      </c>
    </row>
    <row r="5" spans="1:14" ht="12.75">
      <c r="A5" s="189" t="s">
        <v>121</v>
      </c>
      <c r="B5" s="54">
        <v>67.5</v>
      </c>
      <c r="C5" s="54">
        <v>79</v>
      </c>
      <c r="D5" s="54">
        <v>51.5</v>
      </c>
      <c r="E5" s="54">
        <v>73</v>
      </c>
      <c r="F5" s="54">
        <v>75</v>
      </c>
      <c r="G5" s="54">
        <v>52</v>
      </c>
      <c r="H5" s="54"/>
      <c r="I5" s="54">
        <v>68</v>
      </c>
      <c r="J5" s="54">
        <v>86</v>
      </c>
      <c r="K5" s="54"/>
      <c r="L5" s="54">
        <v>60</v>
      </c>
      <c r="M5" s="51">
        <f t="shared" si="0"/>
        <v>68</v>
      </c>
      <c r="N5" s="55">
        <f aca="true" t="shared" si="1" ref="N5:N15">RANK(M5,$M$4:$M$18)</f>
        <v>6</v>
      </c>
    </row>
    <row r="6" spans="1:14" ht="12.75">
      <c r="A6" t="s">
        <v>149</v>
      </c>
      <c r="B6" s="54">
        <v>60</v>
      </c>
      <c r="C6" s="54">
        <v>65</v>
      </c>
      <c r="D6" s="54">
        <v>78</v>
      </c>
      <c r="E6" s="54">
        <v>72</v>
      </c>
      <c r="F6" s="54">
        <v>82.5</v>
      </c>
      <c r="G6" s="54">
        <v>77</v>
      </c>
      <c r="H6" s="54"/>
      <c r="I6" s="54">
        <v>55</v>
      </c>
      <c r="J6" s="54">
        <v>79</v>
      </c>
      <c r="K6" s="54">
        <v>67.5</v>
      </c>
      <c r="L6" s="54">
        <v>80</v>
      </c>
      <c r="M6" s="51">
        <f t="shared" si="0"/>
        <v>71.6</v>
      </c>
      <c r="N6" s="55">
        <f t="shared" si="1"/>
        <v>5</v>
      </c>
    </row>
    <row r="7" spans="1:14" ht="12.75">
      <c r="A7" s="189" t="s">
        <v>113</v>
      </c>
      <c r="B7" s="54">
        <v>70</v>
      </c>
      <c r="C7" s="54">
        <v>73</v>
      </c>
      <c r="D7" s="54">
        <v>56</v>
      </c>
      <c r="E7" s="54">
        <v>67</v>
      </c>
      <c r="F7" s="54">
        <v>77.5</v>
      </c>
      <c r="G7" s="54">
        <v>51</v>
      </c>
      <c r="H7" s="54">
        <v>35</v>
      </c>
      <c r="I7" s="54">
        <v>60</v>
      </c>
      <c r="J7" s="54">
        <v>77</v>
      </c>
      <c r="K7" s="54">
        <v>47.5</v>
      </c>
      <c r="L7" s="54">
        <v>59</v>
      </c>
      <c r="M7" s="51">
        <f t="shared" si="0"/>
        <v>61.18181818181818</v>
      </c>
      <c r="N7" s="55">
        <f t="shared" si="1"/>
        <v>10</v>
      </c>
    </row>
    <row r="8" spans="1:14" ht="12.75">
      <c r="A8" s="189" t="s">
        <v>114</v>
      </c>
      <c r="B8" s="54">
        <v>75</v>
      </c>
      <c r="C8" s="54">
        <v>77</v>
      </c>
      <c r="D8" s="54">
        <v>58</v>
      </c>
      <c r="E8" s="54">
        <v>75</v>
      </c>
      <c r="F8" s="54">
        <v>80</v>
      </c>
      <c r="G8" s="54">
        <v>60</v>
      </c>
      <c r="H8" s="54"/>
      <c r="I8" s="54">
        <v>72</v>
      </c>
      <c r="J8" s="54">
        <v>92.5</v>
      </c>
      <c r="K8" s="54">
        <v>60</v>
      </c>
      <c r="L8" s="54">
        <v>78</v>
      </c>
      <c r="M8" s="51">
        <f t="shared" si="0"/>
        <v>72.75</v>
      </c>
      <c r="N8" s="55">
        <f t="shared" si="1"/>
        <v>4</v>
      </c>
    </row>
    <row r="9" spans="1:14" ht="12.75">
      <c r="A9" s="189" t="s">
        <v>115</v>
      </c>
      <c r="B9" s="54">
        <v>77.5</v>
      </c>
      <c r="C9" s="54">
        <v>82</v>
      </c>
      <c r="D9" s="54">
        <v>68</v>
      </c>
      <c r="E9" s="54">
        <v>78</v>
      </c>
      <c r="F9" s="54">
        <v>82.5</v>
      </c>
      <c r="G9" s="54">
        <v>68</v>
      </c>
      <c r="H9" s="54">
        <v>74.55</v>
      </c>
      <c r="I9" s="54">
        <v>72</v>
      </c>
      <c r="J9" s="54">
        <v>79</v>
      </c>
      <c r="K9" s="54">
        <v>70</v>
      </c>
      <c r="L9" s="54">
        <v>65</v>
      </c>
      <c r="M9" s="51">
        <f t="shared" si="0"/>
        <v>74.23181818181818</v>
      </c>
      <c r="N9" s="55">
        <f t="shared" si="1"/>
        <v>3</v>
      </c>
    </row>
    <row r="10" spans="1:14" ht="25.5">
      <c r="A10" s="189" t="s">
        <v>116</v>
      </c>
      <c r="B10" s="54">
        <v>75</v>
      </c>
      <c r="C10" s="54">
        <v>69</v>
      </c>
      <c r="D10" s="54">
        <v>64</v>
      </c>
      <c r="E10" s="54">
        <v>67</v>
      </c>
      <c r="F10" s="54">
        <v>77.5</v>
      </c>
      <c r="G10" s="54">
        <v>52</v>
      </c>
      <c r="H10" s="54">
        <v>70</v>
      </c>
      <c r="I10" s="54">
        <v>64</v>
      </c>
      <c r="J10" s="54">
        <v>60</v>
      </c>
      <c r="K10" s="54">
        <v>60</v>
      </c>
      <c r="L10" s="54">
        <v>57</v>
      </c>
      <c r="M10" s="51">
        <f t="shared" si="0"/>
        <v>65.04545454545455</v>
      </c>
      <c r="N10" s="55">
        <f t="shared" si="1"/>
        <v>8</v>
      </c>
    </row>
    <row r="11" spans="1:14" ht="12.75">
      <c r="A11" s="189" t="s">
        <v>117</v>
      </c>
      <c r="B11" s="54">
        <v>52.5</v>
      </c>
      <c r="C11" s="54">
        <v>79</v>
      </c>
      <c r="D11" s="54">
        <v>76</v>
      </c>
      <c r="E11" s="54">
        <v>70</v>
      </c>
      <c r="F11" s="54">
        <v>77.5</v>
      </c>
      <c r="G11" s="54">
        <v>41</v>
      </c>
      <c r="H11" s="54">
        <v>70</v>
      </c>
      <c r="I11" s="54">
        <v>61</v>
      </c>
      <c r="J11" s="54">
        <v>80</v>
      </c>
      <c r="K11" s="54">
        <v>65</v>
      </c>
      <c r="L11" s="54">
        <v>74</v>
      </c>
      <c r="M11" s="51">
        <f t="shared" si="0"/>
        <v>67.81818181818181</v>
      </c>
      <c r="N11" s="55">
        <f t="shared" si="1"/>
        <v>7</v>
      </c>
    </row>
    <row r="12" spans="1:14" ht="12.75">
      <c r="A12" s="189" t="s">
        <v>122</v>
      </c>
      <c r="B12" s="54">
        <v>67.5</v>
      </c>
      <c r="C12" s="54">
        <v>65</v>
      </c>
      <c r="D12" s="54">
        <v>66</v>
      </c>
      <c r="E12" s="54">
        <v>72</v>
      </c>
      <c r="F12" s="54">
        <v>70</v>
      </c>
      <c r="G12" s="54">
        <v>53</v>
      </c>
      <c r="H12" s="54">
        <v>67.5</v>
      </c>
      <c r="I12" s="54">
        <v>55</v>
      </c>
      <c r="J12" s="54">
        <v>61</v>
      </c>
      <c r="K12" s="54">
        <v>55</v>
      </c>
      <c r="L12" s="54">
        <v>69</v>
      </c>
      <c r="M12" s="51">
        <f t="shared" si="0"/>
        <v>63.72727272727273</v>
      </c>
      <c r="N12" s="55">
        <f t="shared" si="1"/>
        <v>9</v>
      </c>
    </row>
    <row r="13" spans="1:14" ht="12.75">
      <c r="A13" s="189" t="s">
        <v>118</v>
      </c>
      <c r="B13" s="54">
        <v>72.5</v>
      </c>
      <c r="C13" s="54">
        <v>76</v>
      </c>
      <c r="D13" s="54">
        <v>82</v>
      </c>
      <c r="E13" s="54">
        <v>86</v>
      </c>
      <c r="F13" s="54">
        <v>87.5</v>
      </c>
      <c r="G13" s="54">
        <v>82</v>
      </c>
      <c r="H13" s="54">
        <v>88.5</v>
      </c>
      <c r="I13" s="54">
        <v>77</v>
      </c>
      <c r="J13" s="54">
        <v>69</v>
      </c>
      <c r="K13" s="54">
        <v>82.5</v>
      </c>
      <c r="L13" s="54">
        <v>81</v>
      </c>
      <c r="M13" s="51">
        <f t="shared" si="0"/>
        <v>80.36363636363636</v>
      </c>
      <c r="N13" s="55">
        <f t="shared" si="1"/>
        <v>1</v>
      </c>
    </row>
    <row r="14" spans="1:14" ht="12.75">
      <c r="A14" s="189" t="s">
        <v>111</v>
      </c>
      <c r="B14" s="54" t="s">
        <v>162</v>
      </c>
      <c r="C14" s="54" t="s">
        <v>162</v>
      </c>
      <c r="D14" s="54" t="s">
        <v>162</v>
      </c>
      <c r="E14" s="54" t="s">
        <v>162</v>
      </c>
      <c r="F14" s="54" t="s">
        <v>162</v>
      </c>
      <c r="G14" s="54" t="s">
        <v>162</v>
      </c>
      <c r="H14" s="54" t="s">
        <v>162</v>
      </c>
      <c r="I14" s="54" t="s">
        <v>162</v>
      </c>
      <c r="J14" s="54" t="s">
        <v>162</v>
      </c>
      <c r="K14" s="54" t="s">
        <v>162</v>
      </c>
      <c r="L14" s="54"/>
      <c r="M14" s="51"/>
      <c r="N14" s="55"/>
    </row>
    <row r="15" spans="1:14" ht="12.75">
      <c r="A15" s="189" t="s">
        <v>119</v>
      </c>
      <c r="B15" s="54">
        <v>37.5</v>
      </c>
      <c r="C15" s="54">
        <v>58</v>
      </c>
      <c r="D15" s="54">
        <v>53</v>
      </c>
      <c r="E15" s="54">
        <v>62</v>
      </c>
      <c r="F15" s="54">
        <v>27.5</v>
      </c>
      <c r="G15" s="54">
        <v>44</v>
      </c>
      <c r="H15" s="54">
        <v>47.5</v>
      </c>
      <c r="I15" s="54">
        <v>51</v>
      </c>
      <c r="J15" s="54">
        <v>44</v>
      </c>
      <c r="K15" s="54">
        <v>47.5</v>
      </c>
      <c r="L15" s="54">
        <v>54</v>
      </c>
      <c r="M15" s="51">
        <f t="shared" si="0"/>
        <v>47.81818181818182</v>
      </c>
      <c r="N15" s="55">
        <f t="shared" si="1"/>
        <v>11</v>
      </c>
    </row>
    <row r="16" spans="1:14" ht="12.75">
      <c r="A16" s="189" t="s">
        <v>120</v>
      </c>
      <c r="B16" s="54">
        <v>27.5</v>
      </c>
      <c r="C16" s="54">
        <v>59</v>
      </c>
      <c r="D16" s="54">
        <v>44</v>
      </c>
      <c r="E16" s="54">
        <v>48</v>
      </c>
      <c r="F16" s="54">
        <v>25</v>
      </c>
      <c r="G16" s="54">
        <v>53</v>
      </c>
      <c r="H16" s="54">
        <v>37.5</v>
      </c>
      <c r="I16" s="54">
        <v>55</v>
      </c>
      <c r="J16" s="54">
        <v>41</v>
      </c>
      <c r="K16" s="54">
        <v>45</v>
      </c>
      <c r="L16" s="54">
        <v>52</v>
      </c>
      <c r="M16" s="51">
        <f t="shared" si="0"/>
        <v>44.27272727272727</v>
      </c>
      <c r="N16" s="55">
        <f>RANK(M16,$M$4:$M$16)</f>
        <v>12</v>
      </c>
    </row>
    <row r="17" spans="1:14" ht="12.75">
      <c r="A17" s="27"/>
      <c r="B17" s="46"/>
      <c r="C17" s="46"/>
      <c r="D17" s="46"/>
      <c r="E17" s="46"/>
      <c r="F17" s="46"/>
      <c r="G17" s="46"/>
      <c r="H17" s="46"/>
      <c r="I17" s="46" t="s">
        <v>90</v>
      </c>
      <c r="J17" s="46"/>
      <c r="K17" s="46"/>
      <c r="L17" s="46"/>
      <c r="M17" s="51"/>
      <c r="N17" s="55"/>
    </row>
    <row r="18" spans="1:14" ht="12.75">
      <c r="A18" s="27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51"/>
      <c r="N18" s="55"/>
    </row>
    <row r="19" spans="2:14" ht="12.75">
      <c r="B19" s="193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</row>
    <row r="20" spans="2:14" ht="12.75"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2:14" ht="12.75">
      <c r="B21" s="193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</row>
  </sheetData>
  <printOptions/>
  <pageMargins left="0.75" right="0.75" top="1" bottom="1" header="0.5" footer="0.5"/>
  <pageSetup fitToHeight="1" fitToWidth="1" horizontalDpi="300" verticalDpi="300" orientation="landscape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workbookViewId="0" topLeftCell="A1">
      <selection activeCell="A18" sqref="A18"/>
    </sheetView>
  </sheetViews>
  <sheetFormatPr defaultColWidth="9.140625" defaultRowHeight="12.75"/>
  <cols>
    <col min="1" max="1" width="35.140625" style="0" customWidth="1"/>
    <col min="2" max="3" width="11.00390625" style="0" customWidth="1"/>
    <col min="4" max="5" width="13.28125" style="0" customWidth="1"/>
    <col min="6" max="6" width="11.421875" style="0" customWidth="1"/>
    <col min="7" max="7" width="12.28125" style="0" customWidth="1"/>
    <col min="8" max="8" width="10.421875" style="0" customWidth="1"/>
    <col min="9" max="9" width="13.7109375" style="0" customWidth="1"/>
    <col min="10" max="10" width="13.28125" style="0" customWidth="1"/>
    <col min="11" max="11" width="12.28125" style="0" customWidth="1"/>
    <col min="12" max="12" width="14.28125" style="0" customWidth="1"/>
    <col min="13" max="13" width="12.7109375" style="0" customWidth="1"/>
    <col min="14" max="14" width="12.421875" style="0" customWidth="1"/>
    <col min="15" max="15" width="11.00390625" style="0" customWidth="1"/>
  </cols>
  <sheetData>
    <row r="1" spans="1:14" ht="18.75">
      <c r="A1" s="9" t="s">
        <v>127</v>
      </c>
      <c r="B1" s="10"/>
      <c r="C1" s="7"/>
      <c r="D1" s="7"/>
      <c r="E1" s="7"/>
      <c r="F1" s="11"/>
      <c r="G1" s="7"/>
      <c r="H1" s="7"/>
      <c r="I1" s="7"/>
      <c r="J1" s="7"/>
      <c r="K1" s="7"/>
      <c r="L1" s="7"/>
      <c r="M1" s="7"/>
      <c r="N1" s="7"/>
    </row>
    <row r="2" spans="1:14" s="83" customFormat="1" ht="12.75">
      <c r="A2" s="44"/>
      <c r="B2" s="44"/>
      <c r="C2" s="44"/>
      <c r="D2" s="11" t="s">
        <v>18</v>
      </c>
      <c r="E2" s="178">
        <f>MIN(D5:D17)</f>
        <v>105</v>
      </c>
      <c r="F2" s="84"/>
      <c r="G2" s="44"/>
      <c r="H2" s="44"/>
      <c r="I2" s="44"/>
      <c r="J2" s="44"/>
      <c r="K2" s="44"/>
      <c r="L2" s="44"/>
      <c r="M2" s="44"/>
      <c r="N2" s="44"/>
    </row>
    <row r="3" spans="1:14" ht="12.75">
      <c r="A3" s="12"/>
      <c r="B3" s="13"/>
      <c r="C3" s="14"/>
      <c r="D3" s="14"/>
      <c r="E3" s="14"/>
      <c r="F3" s="14"/>
      <c r="G3" s="7"/>
      <c r="H3" s="7"/>
      <c r="I3" s="7"/>
      <c r="J3" s="7"/>
      <c r="K3" s="7"/>
      <c r="L3" s="7"/>
      <c r="M3" s="7"/>
      <c r="N3" s="7"/>
    </row>
    <row r="4" spans="1:14" ht="12.75">
      <c r="A4" s="7"/>
      <c r="B4" s="28" t="s">
        <v>51</v>
      </c>
      <c r="C4" s="28" t="s">
        <v>52</v>
      </c>
      <c r="D4" s="28" t="s">
        <v>53</v>
      </c>
      <c r="E4" s="28" t="s">
        <v>11</v>
      </c>
      <c r="F4" s="28" t="s">
        <v>40</v>
      </c>
      <c r="G4" s="28"/>
      <c r="H4" s="24"/>
      <c r="I4" s="24"/>
      <c r="J4" s="6"/>
      <c r="K4" s="6"/>
      <c r="L4" s="6"/>
      <c r="M4" s="6"/>
      <c r="N4" s="3"/>
    </row>
    <row r="5" spans="1:14" ht="12.75">
      <c r="A5" s="189" t="s">
        <v>112</v>
      </c>
      <c r="B5" s="74">
        <v>107</v>
      </c>
      <c r="C5" s="74">
        <v>107</v>
      </c>
      <c r="D5" s="20">
        <f aca="true" t="shared" si="0" ref="D5:D18">AVERAGE(B5:C5)</f>
        <v>107</v>
      </c>
      <c r="E5" s="70">
        <f aca="true" t="shared" si="1" ref="E5:E14">IF(D5&gt;=$D$18,0,100+200*(($D$18/D5)^2-1)/(($D$18/$E$2)^2-1))</f>
        <v>0</v>
      </c>
      <c r="F5" s="65">
        <f aca="true" t="shared" si="2" ref="F5:F17">RANK(E5,$E$5:$E$17)</f>
        <v>4</v>
      </c>
      <c r="G5" s="66"/>
      <c r="H5" s="71"/>
      <c r="I5" s="36"/>
      <c r="J5" s="22"/>
      <c r="K5" s="70"/>
      <c r="L5" s="22"/>
      <c r="M5" s="22"/>
      <c r="N5" s="4"/>
    </row>
    <row r="6" spans="1:14" ht="12.75">
      <c r="A6" s="189" t="s">
        <v>121</v>
      </c>
      <c r="B6" s="74">
        <v>109</v>
      </c>
      <c r="C6" s="74">
        <v>109</v>
      </c>
      <c r="D6" s="20">
        <f t="shared" si="0"/>
        <v>109</v>
      </c>
      <c r="E6" s="70">
        <f t="shared" si="1"/>
        <v>0</v>
      </c>
      <c r="F6" s="65">
        <f t="shared" si="2"/>
        <v>4</v>
      </c>
      <c r="G6" s="66"/>
      <c r="H6" s="71"/>
      <c r="I6" s="36"/>
      <c r="J6" s="22"/>
      <c r="K6" s="70"/>
      <c r="L6" s="22"/>
      <c r="M6" s="22"/>
      <c r="N6" s="4"/>
    </row>
    <row r="7" spans="1:14" ht="12.75">
      <c r="A7" t="s">
        <v>149</v>
      </c>
      <c r="B7" s="74">
        <v>107</v>
      </c>
      <c r="C7" s="74">
        <v>107</v>
      </c>
      <c r="D7" s="20">
        <f t="shared" si="0"/>
        <v>107</v>
      </c>
      <c r="E7" s="70">
        <f t="shared" si="1"/>
        <v>0</v>
      </c>
      <c r="F7" s="65">
        <f t="shared" si="2"/>
        <v>4</v>
      </c>
      <c r="G7" s="66"/>
      <c r="H7" s="71"/>
      <c r="I7" s="36"/>
      <c r="J7" s="22"/>
      <c r="K7" s="70"/>
      <c r="L7" s="22"/>
      <c r="M7" s="22"/>
      <c r="N7" s="4"/>
    </row>
    <row r="8" spans="1:14" ht="12.75">
      <c r="A8" s="189" t="s">
        <v>113</v>
      </c>
      <c r="B8" s="74">
        <v>105</v>
      </c>
      <c r="C8" s="74">
        <v>105</v>
      </c>
      <c r="D8" s="20">
        <f t="shared" si="0"/>
        <v>105</v>
      </c>
      <c r="E8" s="70">
        <f t="shared" si="1"/>
        <v>300</v>
      </c>
      <c r="F8" s="65">
        <f t="shared" si="2"/>
        <v>1</v>
      </c>
      <c r="G8" s="66"/>
      <c r="H8" s="71"/>
      <c r="I8" s="36"/>
      <c r="J8" s="22"/>
      <c r="K8" s="70"/>
      <c r="L8" s="22"/>
      <c r="M8" s="22"/>
      <c r="N8" s="4"/>
    </row>
    <row r="9" spans="1:14" ht="12.75">
      <c r="A9" s="189" t="s">
        <v>114</v>
      </c>
      <c r="B9" s="74">
        <v>105</v>
      </c>
      <c r="C9" s="74">
        <v>105</v>
      </c>
      <c r="D9" s="20">
        <f t="shared" si="0"/>
        <v>105</v>
      </c>
      <c r="E9" s="70">
        <f t="shared" si="1"/>
        <v>300</v>
      </c>
      <c r="F9" s="65">
        <f t="shared" si="2"/>
        <v>1</v>
      </c>
      <c r="G9" s="66"/>
      <c r="H9" s="71"/>
      <c r="I9" s="36"/>
      <c r="J9" s="22"/>
      <c r="K9" s="70"/>
      <c r="L9" s="22"/>
      <c r="M9" s="22"/>
      <c r="N9" s="4"/>
    </row>
    <row r="10" spans="1:14" ht="12.75">
      <c r="A10" s="189" t="s">
        <v>115</v>
      </c>
      <c r="B10" s="74">
        <v>109</v>
      </c>
      <c r="C10" s="74">
        <v>108</v>
      </c>
      <c r="D10" s="20">
        <f t="shared" si="0"/>
        <v>108.5</v>
      </c>
      <c r="E10" s="70">
        <f t="shared" si="1"/>
        <v>0</v>
      </c>
      <c r="F10" s="65">
        <f t="shared" si="2"/>
        <v>4</v>
      </c>
      <c r="G10" s="66"/>
      <c r="H10" s="71"/>
      <c r="I10" s="36"/>
      <c r="L10" s="22"/>
      <c r="M10" s="22"/>
      <c r="N10" s="4"/>
    </row>
    <row r="11" spans="1:14" ht="25.5">
      <c r="A11" s="189" t="s">
        <v>116</v>
      </c>
      <c r="B11" s="74">
        <v>106</v>
      </c>
      <c r="C11" s="74">
        <v>105</v>
      </c>
      <c r="D11" s="20">
        <f t="shared" si="0"/>
        <v>105.5</v>
      </c>
      <c r="E11" s="70">
        <f t="shared" si="1"/>
        <v>199.2891048486494</v>
      </c>
      <c r="F11" s="65">
        <f t="shared" si="2"/>
        <v>3</v>
      </c>
      <c r="G11" s="66"/>
      <c r="H11" s="71"/>
      <c r="I11" s="36"/>
      <c r="L11" s="22"/>
      <c r="M11" s="22"/>
      <c r="N11" s="4"/>
    </row>
    <row r="12" spans="1:14" ht="12.75">
      <c r="A12" s="189" t="s">
        <v>117</v>
      </c>
      <c r="B12" s="74">
        <v>108</v>
      </c>
      <c r="C12" s="74">
        <v>108</v>
      </c>
      <c r="D12" s="20">
        <f t="shared" si="0"/>
        <v>108</v>
      </c>
      <c r="E12" s="70">
        <f t="shared" si="1"/>
        <v>0</v>
      </c>
      <c r="F12" s="65">
        <f t="shared" si="2"/>
        <v>4</v>
      </c>
      <c r="G12" s="66"/>
      <c r="H12" s="71"/>
      <c r="I12" s="36"/>
      <c r="J12" s="22"/>
      <c r="K12" s="70"/>
      <c r="L12" s="22"/>
      <c r="M12" s="22"/>
      <c r="N12" s="4"/>
    </row>
    <row r="13" spans="1:14" ht="12.75">
      <c r="A13" s="189" t="s">
        <v>122</v>
      </c>
      <c r="B13" s="74"/>
      <c r="C13" s="74"/>
      <c r="D13" s="20"/>
      <c r="E13" s="70"/>
      <c r="F13" s="65">
        <f t="shared" si="2"/>
        <v>4</v>
      </c>
      <c r="G13" s="66"/>
      <c r="H13" s="71"/>
      <c r="I13" s="36"/>
      <c r="J13" s="22"/>
      <c r="K13" s="70"/>
      <c r="L13" s="22"/>
      <c r="M13" s="22"/>
      <c r="N13" s="4"/>
    </row>
    <row r="14" spans="1:14" ht="12.75">
      <c r="A14" s="189" t="s">
        <v>118</v>
      </c>
      <c r="B14" s="74">
        <v>108</v>
      </c>
      <c r="C14" s="74">
        <v>108</v>
      </c>
      <c r="D14" s="20">
        <f t="shared" si="0"/>
        <v>108</v>
      </c>
      <c r="E14" s="70">
        <f t="shared" si="1"/>
        <v>0</v>
      </c>
      <c r="F14" s="65">
        <f t="shared" si="2"/>
        <v>4</v>
      </c>
      <c r="G14" s="66"/>
      <c r="H14" s="71"/>
      <c r="I14" s="36"/>
      <c r="J14" s="22"/>
      <c r="K14" s="70"/>
      <c r="L14" s="22"/>
      <c r="M14" s="22"/>
      <c r="N14" s="4"/>
    </row>
    <row r="15" spans="1:14" ht="12.75">
      <c r="A15" s="189" t="s">
        <v>111</v>
      </c>
      <c r="B15" s="74"/>
      <c r="C15" s="74"/>
      <c r="D15" s="20"/>
      <c r="E15" s="70"/>
      <c r="F15" s="65">
        <f t="shared" si="2"/>
        <v>4</v>
      </c>
      <c r="G15" s="66"/>
      <c r="H15" s="71"/>
      <c r="I15" s="36"/>
      <c r="J15" s="22"/>
      <c r="K15" s="70"/>
      <c r="L15" s="22"/>
      <c r="M15" s="22"/>
      <c r="N15" s="4"/>
    </row>
    <row r="16" spans="1:14" ht="12.75">
      <c r="A16" s="189" t="s">
        <v>119</v>
      </c>
      <c r="B16" s="74">
        <v>110</v>
      </c>
      <c r="C16" s="74">
        <v>110</v>
      </c>
      <c r="D16" s="20"/>
      <c r="E16" s="70">
        <v>0</v>
      </c>
      <c r="F16" s="65">
        <f t="shared" si="2"/>
        <v>4</v>
      </c>
      <c r="G16" s="66"/>
      <c r="H16" s="71"/>
      <c r="I16" s="36"/>
      <c r="J16" s="22"/>
      <c r="K16" s="70"/>
      <c r="L16" s="22"/>
      <c r="M16" s="22"/>
      <c r="N16" s="4"/>
    </row>
    <row r="17" spans="1:14" ht="12.75">
      <c r="A17" s="189" t="s">
        <v>120</v>
      </c>
      <c r="B17" s="74"/>
      <c r="C17" s="74"/>
      <c r="D17" s="20"/>
      <c r="E17" s="70"/>
      <c r="F17" s="65">
        <f t="shared" si="2"/>
        <v>4</v>
      </c>
      <c r="G17" s="66"/>
      <c r="H17" s="71"/>
      <c r="I17" s="36"/>
      <c r="J17" s="22"/>
      <c r="K17" s="22"/>
      <c r="L17" s="22"/>
      <c r="M17" s="22"/>
      <c r="N17" s="7"/>
    </row>
    <row r="18" spans="1:9" ht="12.75">
      <c r="A18" s="16" t="s">
        <v>190</v>
      </c>
      <c r="B18" s="74">
        <v>106</v>
      </c>
      <c r="C18" s="74">
        <v>106</v>
      </c>
      <c r="D18" s="20">
        <f t="shared" si="0"/>
        <v>106</v>
      </c>
      <c r="E18" s="14"/>
      <c r="F18" s="14"/>
      <c r="G18" s="14"/>
      <c r="H18" s="7"/>
      <c r="I18" s="7"/>
    </row>
    <row r="19" spans="1:10" ht="12.75">
      <c r="A19" s="1"/>
      <c r="B19" s="5"/>
      <c r="C19" s="5"/>
      <c r="D19" s="5"/>
      <c r="E19" s="5"/>
      <c r="F19" s="5"/>
      <c r="G19" s="5"/>
      <c r="H19" s="1"/>
      <c r="I19" s="1"/>
      <c r="J19" s="1"/>
    </row>
    <row r="20" spans="1:10" ht="12.75">
      <c r="A20" s="86"/>
      <c r="B20" s="86"/>
      <c r="C20" s="59"/>
      <c r="D20" s="59"/>
      <c r="E20" s="59"/>
      <c r="F20" s="59"/>
      <c r="G20" s="5"/>
      <c r="H20" s="87"/>
      <c r="I20" s="88"/>
      <c r="J20" s="1"/>
    </row>
    <row r="21" spans="1:10" ht="12.75">
      <c r="A21" s="63"/>
      <c r="B21" s="89"/>
      <c r="C21" s="89"/>
      <c r="D21" s="89"/>
      <c r="E21" s="63"/>
      <c r="F21" s="63"/>
      <c r="G21" s="5"/>
      <c r="H21" s="87"/>
      <c r="I21" s="90"/>
      <c r="J21" s="1"/>
    </row>
    <row r="22" spans="1:10" ht="12.75">
      <c r="A22" s="91"/>
      <c r="B22" s="92"/>
      <c r="C22" s="93"/>
      <c r="D22" s="93"/>
      <c r="E22" s="93"/>
      <c r="F22" s="94"/>
      <c r="G22" s="5"/>
      <c r="H22" s="1"/>
      <c r="I22" s="1"/>
      <c r="J22" s="1"/>
    </row>
    <row r="23" spans="1:10" ht="12.75">
      <c r="A23" s="91"/>
      <c r="B23" s="92"/>
      <c r="C23" s="93"/>
      <c r="D23" s="93"/>
      <c r="E23" s="93"/>
      <c r="F23" s="94"/>
      <c r="G23" s="5"/>
      <c r="H23" s="1"/>
      <c r="I23" s="1"/>
      <c r="J23" s="1"/>
    </row>
    <row r="24" spans="1:10" ht="12.75">
      <c r="A24" s="91"/>
      <c r="B24" s="92"/>
      <c r="C24" s="93"/>
      <c r="D24" s="93"/>
      <c r="E24" s="93"/>
      <c r="F24" s="94"/>
      <c r="G24" s="5"/>
      <c r="H24" s="1"/>
      <c r="I24" s="1"/>
      <c r="J24" s="1"/>
    </row>
    <row r="25" spans="1:10" ht="12.75">
      <c r="A25" s="91"/>
      <c r="B25" s="92"/>
      <c r="C25" s="93"/>
      <c r="D25" s="93"/>
      <c r="E25" s="93"/>
      <c r="F25" s="94"/>
      <c r="G25" s="5"/>
      <c r="H25" s="1"/>
      <c r="I25" s="1"/>
      <c r="J25" s="1"/>
    </row>
    <row r="26" spans="1:10" ht="12.75">
      <c r="A26" s="91"/>
      <c r="B26" s="92"/>
      <c r="C26" s="93"/>
      <c r="D26" s="93"/>
      <c r="E26" s="93"/>
      <c r="F26" s="94"/>
      <c r="G26" s="5"/>
      <c r="H26" s="1"/>
      <c r="I26" s="1"/>
      <c r="J26" s="1"/>
    </row>
    <row r="27" spans="1:10" ht="12.75">
      <c r="A27" s="91"/>
      <c r="B27" s="92"/>
      <c r="C27" s="93"/>
      <c r="D27" s="93"/>
      <c r="E27" s="93"/>
      <c r="F27" s="94"/>
      <c r="G27" s="5"/>
      <c r="H27" s="1"/>
      <c r="I27" s="1"/>
      <c r="J27" s="1"/>
    </row>
    <row r="28" spans="1:10" ht="12.75">
      <c r="A28" s="91"/>
      <c r="B28" s="92"/>
      <c r="C28" s="93"/>
      <c r="D28" s="93"/>
      <c r="E28" s="93"/>
      <c r="F28" s="94"/>
      <c r="G28" s="5"/>
      <c r="H28" s="1"/>
      <c r="I28" s="1"/>
      <c r="J28" s="1"/>
    </row>
    <row r="29" spans="1:10" ht="12.75">
      <c r="A29" s="91"/>
      <c r="B29" s="92"/>
      <c r="C29" s="93"/>
      <c r="D29" s="93"/>
      <c r="E29" s="93"/>
      <c r="F29" s="94"/>
      <c r="G29" s="5"/>
      <c r="H29" s="1"/>
      <c r="I29" s="1"/>
      <c r="J29" s="1"/>
    </row>
    <row r="30" spans="1:10" ht="12.75">
      <c r="A30" s="91"/>
      <c r="B30" s="92"/>
      <c r="C30" s="93"/>
      <c r="D30" s="93"/>
      <c r="E30" s="93"/>
      <c r="F30" s="94"/>
      <c r="G30" s="5"/>
      <c r="H30" s="1"/>
      <c r="I30" s="1"/>
      <c r="J30" s="1"/>
    </row>
    <row r="31" spans="1:10" ht="12.75">
      <c r="A31" s="91"/>
      <c r="B31" s="92"/>
      <c r="C31" s="93"/>
      <c r="D31" s="93"/>
      <c r="E31" s="93"/>
      <c r="F31" s="94"/>
      <c r="G31" s="5"/>
      <c r="H31" s="1"/>
      <c r="I31" s="1"/>
      <c r="J31" s="1"/>
    </row>
    <row r="32" spans="1:10" ht="12.75">
      <c r="A32" s="91"/>
      <c r="B32" s="92"/>
      <c r="C32" s="93"/>
      <c r="D32" s="93"/>
      <c r="E32" s="93"/>
      <c r="F32" s="94"/>
      <c r="G32" s="5"/>
      <c r="H32" s="1"/>
      <c r="I32" s="1"/>
      <c r="J32" s="1"/>
    </row>
    <row r="33" spans="1:10" ht="12.75">
      <c r="A33" s="91"/>
      <c r="B33" s="92"/>
      <c r="C33" s="93"/>
      <c r="D33" s="93"/>
      <c r="E33" s="93"/>
      <c r="F33" s="94"/>
      <c r="G33" s="5"/>
      <c r="H33" s="1"/>
      <c r="I33" s="1"/>
      <c r="J33" s="1"/>
    </row>
    <row r="34" spans="1:10" ht="12.75">
      <c r="A34" s="91"/>
      <c r="B34" s="92"/>
      <c r="C34" s="93"/>
      <c r="D34" s="93"/>
      <c r="E34" s="93"/>
      <c r="F34" s="94"/>
      <c r="G34" s="5"/>
      <c r="H34" s="1"/>
      <c r="I34" s="1"/>
      <c r="J34" s="1"/>
    </row>
    <row r="35" spans="1:10" ht="12.75">
      <c r="A35" s="91"/>
      <c r="B35" s="92"/>
      <c r="C35" s="93"/>
      <c r="D35" s="93"/>
      <c r="E35" s="93"/>
      <c r="F35" s="94"/>
      <c r="G35" s="5"/>
      <c r="H35" s="1"/>
      <c r="I35" s="1"/>
      <c r="J35" s="1"/>
    </row>
    <row r="36" spans="1:10" ht="12.75">
      <c r="A36" s="91"/>
      <c r="B36" s="92"/>
      <c r="C36" s="93"/>
      <c r="D36" s="93"/>
      <c r="E36" s="93"/>
      <c r="F36" s="94"/>
      <c r="G36" s="5"/>
      <c r="H36" s="1"/>
      <c r="I36" s="1"/>
      <c r="J36" s="1"/>
    </row>
    <row r="37" spans="1:10" ht="12.75">
      <c r="A37" s="91"/>
      <c r="B37" s="92"/>
      <c r="C37" s="93"/>
      <c r="D37" s="93"/>
      <c r="E37" s="93"/>
      <c r="F37" s="94"/>
      <c r="G37" s="5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5"/>
      <c r="H38" s="1"/>
      <c r="I38" s="1"/>
      <c r="J38" s="1"/>
    </row>
    <row r="39" spans="1:10" ht="12.75">
      <c r="A39" s="1"/>
      <c r="B39" s="5"/>
      <c r="C39" s="5"/>
      <c r="D39" s="5"/>
      <c r="E39" s="5"/>
      <c r="F39" s="5"/>
      <c r="G39" s="5"/>
      <c r="H39" s="1"/>
      <c r="I39" s="1"/>
      <c r="J39" s="1"/>
    </row>
    <row r="40" spans="2:7" ht="12.75">
      <c r="B40" s="5"/>
      <c r="C40" s="5"/>
      <c r="D40" s="5"/>
      <c r="E40" s="5"/>
      <c r="F40" s="5"/>
      <c r="G40" s="5"/>
    </row>
    <row r="41" spans="2:7" ht="12.75">
      <c r="B41" s="5"/>
      <c r="C41" s="5"/>
      <c r="D41" s="5"/>
      <c r="E41" s="5"/>
      <c r="F41" s="5"/>
      <c r="G41" s="5"/>
    </row>
    <row r="42" spans="2:7" ht="12.75">
      <c r="B42" s="5"/>
      <c r="C42" s="5"/>
      <c r="D42" s="5"/>
      <c r="E42" s="5"/>
      <c r="F42" s="5"/>
      <c r="G42" s="5"/>
    </row>
    <row r="43" spans="2:7" ht="12.75">
      <c r="B43" s="5"/>
      <c r="C43" s="5"/>
      <c r="D43" s="5"/>
      <c r="E43" s="5"/>
      <c r="F43" s="5"/>
      <c r="G43" s="5"/>
    </row>
    <row r="44" spans="2:7" ht="12.75">
      <c r="B44" s="5"/>
      <c r="C44" s="5"/>
      <c r="D44" s="5"/>
      <c r="E44" s="5"/>
      <c r="F44" s="5"/>
      <c r="G44" s="5"/>
    </row>
    <row r="45" spans="2:7" ht="12.75">
      <c r="B45" s="5"/>
      <c r="C45" s="5"/>
      <c r="D45" s="5"/>
      <c r="E45" s="5"/>
      <c r="F45" s="5"/>
      <c r="G45" s="5"/>
    </row>
    <row r="46" spans="2:7" ht="12.75">
      <c r="B46" s="5"/>
      <c r="C46" s="5"/>
      <c r="D46" s="5"/>
      <c r="E46" s="5"/>
      <c r="F46" s="5"/>
      <c r="G46" s="5"/>
    </row>
    <row r="47" spans="2:7" ht="12.75">
      <c r="B47" s="5"/>
      <c r="C47" s="5"/>
      <c r="D47" s="5"/>
      <c r="E47" s="5"/>
      <c r="F47" s="5"/>
      <c r="G47" s="5"/>
    </row>
    <row r="48" spans="2:7" ht="12.75">
      <c r="B48" s="5"/>
      <c r="C48" s="5"/>
      <c r="D48" s="5"/>
      <c r="E48" s="5"/>
      <c r="F48" s="5"/>
      <c r="G48" s="5"/>
    </row>
    <row r="49" spans="2:7" ht="12.75">
      <c r="B49" s="5"/>
      <c r="C49" s="5"/>
      <c r="D49" s="5"/>
      <c r="E49" s="5"/>
      <c r="F49" s="5"/>
      <c r="G49" s="5"/>
    </row>
    <row r="50" spans="2:7" ht="12.75">
      <c r="B50" s="5"/>
      <c r="C50" s="5"/>
      <c r="D50" s="5"/>
      <c r="E50" s="5"/>
      <c r="F50" s="5"/>
      <c r="G50" s="5"/>
    </row>
    <row r="51" spans="2:7" ht="12.75">
      <c r="B51" s="5"/>
      <c r="C51" s="5"/>
      <c r="D51" s="5"/>
      <c r="E51" s="5"/>
      <c r="F51" s="5"/>
      <c r="G51" s="5"/>
    </row>
    <row r="52" spans="2:7" ht="12.75">
      <c r="B52" s="5"/>
      <c r="C52" s="5"/>
      <c r="D52" s="5"/>
      <c r="E52" s="5"/>
      <c r="F52" s="5"/>
      <c r="G52" s="5"/>
    </row>
    <row r="53" spans="2:7" ht="12.75">
      <c r="B53" s="5"/>
      <c r="C53" s="5"/>
      <c r="D53" s="5"/>
      <c r="E53" s="5"/>
      <c r="F53" s="5"/>
      <c r="G53" s="5"/>
    </row>
    <row r="54" spans="2:7" ht="12.75">
      <c r="B54" s="5"/>
      <c r="C54" s="5"/>
      <c r="D54" s="5"/>
      <c r="E54" s="5"/>
      <c r="F54" s="5"/>
      <c r="G54" s="5"/>
    </row>
  </sheetData>
  <printOptions/>
  <pageMargins left="0.75" right="0.75" top="0.5" bottom="0.5" header="0.5" footer="0.5"/>
  <pageSetup fitToHeight="1" fitToWidth="1"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workbookViewId="0" topLeftCell="A1">
      <selection activeCell="A18" sqref="A18"/>
    </sheetView>
  </sheetViews>
  <sheetFormatPr defaultColWidth="9.140625" defaultRowHeight="12.75"/>
  <cols>
    <col min="1" max="1" width="35.140625" style="0" customWidth="1"/>
    <col min="2" max="2" width="9.7109375" style="0" customWidth="1"/>
    <col min="3" max="3" width="10.00390625" style="0" customWidth="1"/>
    <col min="4" max="4" width="11.421875" style="0" customWidth="1"/>
    <col min="5" max="5" width="11.28125" style="0" customWidth="1"/>
    <col min="6" max="6" width="14.28125" style="0" customWidth="1"/>
    <col min="7" max="7" width="12.7109375" style="0" customWidth="1"/>
    <col min="8" max="8" width="12.421875" style="0" customWidth="1"/>
    <col min="9" max="9" width="11.00390625" style="0" customWidth="1"/>
  </cols>
  <sheetData>
    <row r="1" spans="1:8" ht="18.75">
      <c r="A1" s="9" t="s">
        <v>132</v>
      </c>
      <c r="B1" s="10"/>
      <c r="C1" s="7"/>
      <c r="D1" s="11"/>
      <c r="E1" s="85"/>
      <c r="F1" s="44"/>
      <c r="G1" s="7"/>
      <c r="H1" s="7"/>
    </row>
    <row r="2" spans="1:8" s="83" customFormat="1" ht="12.75" customHeight="1">
      <c r="A2" s="44"/>
      <c r="B2" s="44"/>
      <c r="C2" s="44"/>
      <c r="D2" s="84" t="s">
        <v>19</v>
      </c>
      <c r="E2" s="159">
        <v>7.022</v>
      </c>
      <c r="F2" s="44" t="s">
        <v>20</v>
      </c>
      <c r="G2" s="44"/>
      <c r="H2" s="44"/>
    </row>
    <row r="3" spans="1:7" ht="12.75">
      <c r="A3" s="7"/>
      <c r="B3" s="13"/>
      <c r="C3" s="14"/>
      <c r="D3" s="14"/>
      <c r="E3" s="7"/>
      <c r="F3" s="7"/>
      <c r="G3" s="7"/>
    </row>
    <row r="4" spans="1:8" ht="27" customHeight="1">
      <c r="A4" s="12"/>
      <c r="B4" s="45" t="s">
        <v>48</v>
      </c>
      <c r="C4" s="45" t="s">
        <v>49</v>
      </c>
      <c r="D4" s="45" t="s">
        <v>73</v>
      </c>
      <c r="E4" s="42" t="s">
        <v>11</v>
      </c>
      <c r="F4" s="6" t="s">
        <v>40</v>
      </c>
      <c r="G4" s="22"/>
      <c r="H4" s="42" t="s">
        <v>47</v>
      </c>
    </row>
    <row r="5" spans="1:8" ht="12.75">
      <c r="A5" s="189" t="s">
        <v>112</v>
      </c>
      <c r="B5" s="64">
        <v>9.237</v>
      </c>
      <c r="C5" s="64">
        <v>8.854</v>
      </c>
      <c r="D5" s="69">
        <f aca="true" t="shared" si="0" ref="D5:D18">MIN(B5:C5)</f>
        <v>8.854</v>
      </c>
      <c r="E5" s="70">
        <f aca="true" t="shared" si="1" ref="E5:E17">IF((D5&gt;12),0,50+50*((12/D5)^2-1)/((12/$E$2)^2-1))</f>
        <v>71.78961903442456</v>
      </c>
      <c r="F5" s="22">
        <f aca="true" t="shared" si="2" ref="F5:F17">RANK(E5,$E$5:$E$17)</f>
        <v>7</v>
      </c>
      <c r="G5" s="22"/>
      <c r="H5" s="81">
        <f aca="true" t="shared" si="3" ref="H5:H17">-(D5-$D$18)/$D$18</f>
        <v>-0.22461964038727505</v>
      </c>
    </row>
    <row r="6" spans="1:8" ht="12.75">
      <c r="A6" s="189" t="s">
        <v>121</v>
      </c>
      <c r="B6" s="64">
        <v>7.927</v>
      </c>
      <c r="C6" s="64">
        <v>8.016</v>
      </c>
      <c r="D6" s="69">
        <f t="shared" si="0"/>
        <v>7.927</v>
      </c>
      <c r="E6" s="70">
        <f t="shared" si="1"/>
        <v>83.6294062396633</v>
      </c>
      <c r="F6" s="22">
        <f t="shared" si="2"/>
        <v>4</v>
      </c>
      <c r="G6" s="22"/>
      <c r="H6" s="81">
        <f t="shared" si="3"/>
        <v>-0.09640387275242035</v>
      </c>
    </row>
    <row r="7" spans="1:8" ht="12.75">
      <c r="A7" t="s">
        <v>149</v>
      </c>
      <c r="B7" s="64">
        <v>9.048</v>
      </c>
      <c r="C7" s="64">
        <v>9.07</v>
      </c>
      <c r="D7" s="69">
        <f t="shared" si="0"/>
        <v>9.048</v>
      </c>
      <c r="E7" s="70">
        <f t="shared" si="1"/>
        <v>69.76071203367971</v>
      </c>
      <c r="F7" s="22">
        <f t="shared" si="2"/>
        <v>9</v>
      </c>
      <c r="G7" s="22"/>
      <c r="H7" s="81">
        <f t="shared" si="3"/>
        <v>-0.2514522821576763</v>
      </c>
    </row>
    <row r="8" spans="1:8" ht="12.75">
      <c r="A8" s="189" t="s">
        <v>113</v>
      </c>
      <c r="B8" s="64">
        <v>7.841</v>
      </c>
      <c r="C8" s="64">
        <v>8.165</v>
      </c>
      <c r="D8" s="69">
        <f t="shared" si="0"/>
        <v>7.841</v>
      </c>
      <c r="E8" s="70">
        <f t="shared" si="1"/>
        <v>84.94541116743729</v>
      </c>
      <c r="F8" s="22">
        <f t="shared" si="2"/>
        <v>3</v>
      </c>
      <c r="G8" s="22"/>
      <c r="H8" s="81">
        <f t="shared" si="3"/>
        <v>-0.08450899031811891</v>
      </c>
    </row>
    <row r="9" spans="1:8" ht="12.75">
      <c r="A9" s="189" t="s">
        <v>114</v>
      </c>
      <c r="B9" s="64">
        <v>8.189</v>
      </c>
      <c r="C9" s="64">
        <v>8.583</v>
      </c>
      <c r="D9" s="69">
        <f t="shared" si="0"/>
        <v>8.189</v>
      </c>
      <c r="E9" s="70">
        <f t="shared" si="1"/>
        <v>79.87257083127562</v>
      </c>
      <c r="F9" s="22">
        <f t="shared" si="2"/>
        <v>5</v>
      </c>
      <c r="G9" s="22"/>
      <c r="H9" s="81">
        <f t="shared" si="3"/>
        <v>-0.13264177040110645</v>
      </c>
    </row>
    <row r="10" spans="1:8" ht="12.75">
      <c r="A10" s="189" t="s">
        <v>115</v>
      </c>
      <c r="B10" s="64">
        <v>7.022</v>
      </c>
      <c r="C10" s="64">
        <v>7.856</v>
      </c>
      <c r="D10" s="69">
        <f t="shared" si="0"/>
        <v>7.022</v>
      </c>
      <c r="E10" s="70">
        <f t="shared" si="1"/>
        <v>100</v>
      </c>
      <c r="F10" s="22">
        <f t="shared" si="2"/>
        <v>1</v>
      </c>
      <c r="G10" s="22"/>
      <c r="H10" s="81">
        <f t="shared" si="3"/>
        <v>0.02876901798063626</v>
      </c>
    </row>
    <row r="11" spans="1:8" ht="25.5">
      <c r="A11" s="189" t="s">
        <v>116</v>
      </c>
      <c r="B11" s="64">
        <v>9.948</v>
      </c>
      <c r="C11" s="64">
        <v>9.794</v>
      </c>
      <c r="D11" s="69">
        <f t="shared" si="0"/>
        <v>9.794</v>
      </c>
      <c r="E11" s="70">
        <f t="shared" si="1"/>
        <v>63.0497694864716</v>
      </c>
      <c r="F11" s="22">
        <f t="shared" si="2"/>
        <v>10</v>
      </c>
      <c r="G11" s="22"/>
      <c r="H11" s="81">
        <f t="shared" si="3"/>
        <v>-0.35463347164591974</v>
      </c>
    </row>
    <row r="12" spans="1:8" ht="12.75">
      <c r="A12" s="189" t="s">
        <v>117</v>
      </c>
      <c r="B12" s="64">
        <v>8.921</v>
      </c>
      <c r="C12" s="64">
        <v>9.308</v>
      </c>
      <c r="D12" s="69">
        <f t="shared" si="0"/>
        <v>8.921</v>
      </c>
      <c r="E12" s="70">
        <f t="shared" si="1"/>
        <v>71.0739349239737</v>
      </c>
      <c r="F12" s="22">
        <f t="shared" si="2"/>
        <v>8</v>
      </c>
      <c r="G12" s="22"/>
      <c r="H12" s="81">
        <f t="shared" si="3"/>
        <v>-0.23388658367911463</v>
      </c>
    </row>
    <row r="13" spans="1:8" ht="12.75">
      <c r="A13" s="189" t="s">
        <v>122</v>
      </c>
      <c r="B13" s="64" t="s">
        <v>74</v>
      </c>
      <c r="C13" s="64" t="s">
        <v>74</v>
      </c>
      <c r="D13" s="69" t="s">
        <v>74</v>
      </c>
      <c r="E13" s="70">
        <v>0</v>
      </c>
      <c r="F13" s="22">
        <f t="shared" si="2"/>
        <v>11</v>
      </c>
      <c r="G13" s="22"/>
      <c r="H13" s="81" t="s">
        <v>74</v>
      </c>
    </row>
    <row r="14" spans="1:8" ht="12.75">
      <c r="A14" s="189" t="s">
        <v>118</v>
      </c>
      <c r="B14" s="64">
        <v>7.279</v>
      </c>
      <c r="C14" s="64">
        <v>7.697</v>
      </c>
      <c r="D14" s="69">
        <f t="shared" si="0"/>
        <v>7.279</v>
      </c>
      <c r="E14" s="70">
        <f t="shared" si="1"/>
        <v>94.72554589116535</v>
      </c>
      <c r="F14" s="22">
        <f t="shared" si="2"/>
        <v>2</v>
      </c>
      <c r="G14" s="22"/>
      <c r="H14" s="81">
        <f t="shared" si="3"/>
        <v>-0.006777316735822889</v>
      </c>
    </row>
    <row r="15" spans="1:8" ht="12.75">
      <c r="A15" s="189" t="s">
        <v>111</v>
      </c>
      <c r="B15" s="64" t="s">
        <v>74</v>
      </c>
      <c r="C15" s="64" t="s">
        <v>74</v>
      </c>
      <c r="D15" s="69" t="s">
        <v>74</v>
      </c>
      <c r="E15" s="70">
        <v>0</v>
      </c>
      <c r="F15" s="22">
        <f t="shared" si="2"/>
        <v>11</v>
      </c>
      <c r="G15" s="22"/>
      <c r="H15" s="81" t="s">
        <v>74</v>
      </c>
    </row>
    <row r="16" spans="1:8" ht="12.75">
      <c r="A16" s="189" t="s">
        <v>119</v>
      </c>
      <c r="B16" s="64">
        <v>8.546</v>
      </c>
      <c r="C16" s="64"/>
      <c r="D16" s="69">
        <f t="shared" si="0"/>
        <v>8.546</v>
      </c>
      <c r="E16" s="70">
        <f t="shared" si="1"/>
        <v>75.29906232996464</v>
      </c>
      <c r="F16" s="22">
        <f t="shared" si="2"/>
        <v>6</v>
      </c>
      <c r="G16" s="22"/>
      <c r="H16" s="81">
        <f t="shared" si="3"/>
        <v>-0.1820193637621022</v>
      </c>
    </row>
    <row r="17" spans="1:8" ht="12.75">
      <c r="A17" s="189" t="s">
        <v>120</v>
      </c>
      <c r="B17" s="64">
        <v>25.061</v>
      </c>
      <c r="C17" s="64"/>
      <c r="D17" s="69">
        <f t="shared" si="0"/>
        <v>25.061</v>
      </c>
      <c r="E17" s="70">
        <f t="shared" si="1"/>
        <v>0</v>
      </c>
      <c r="F17" s="22">
        <f t="shared" si="2"/>
        <v>11</v>
      </c>
      <c r="G17" s="22"/>
      <c r="H17" s="81">
        <f t="shared" si="3"/>
        <v>-2.4662517289073302</v>
      </c>
    </row>
    <row r="18" spans="1:8" ht="12.75">
      <c r="A18" s="7" t="s">
        <v>192</v>
      </c>
      <c r="B18" s="69">
        <v>7.23</v>
      </c>
      <c r="C18" s="69">
        <v>7.479</v>
      </c>
      <c r="D18" s="69">
        <f t="shared" si="0"/>
        <v>7.23</v>
      </c>
      <c r="F18" s="6"/>
      <c r="G18" s="6"/>
      <c r="H18" s="3"/>
    </row>
    <row r="19" spans="1:8" ht="12.75">
      <c r="A19" s="29"/>
      <c r="B19" s="69"/>
      <c r="C19" s="66"/>
      <c r="D19" s="66"/>
      <c r="E19" s="22"/>
      <c r="F19" s="22"/>
      <c r="G19" s="22"/>
      <c r="H19" s="4"/>
    </row>
    <row r="20" spans="1:8" ht="12.75">
      <c r="A20" s="19"/>
      <c r="B20" s="194"/>
      <c r="C20" s="66"/>
      <c r="D20" s="66"/>
      <c r="E20" s="22"/>
      <c r="F20" s="22"/>
      <c r="G20" s="22"/>
      <c r="H20" s="4"/>
    </row>
    <row r="21" spans="1:8" ht="12.75">
      <c r="A21" s="29"/>
      <c r="B21" s="66"/>
      <c r="C21" s="66"/>
      <c r="D21" s="66"/>
      <c r="E21" s="22"/>
      <c r="F21" s="22"/>
      <c r="G21" s="22"/>
      <c r="H21" s="4"/>
    </row>
    <row r="22" spans="1:8" ht="12.75">
      <c r="A22" s="29"/>
      <c r="B22" s="66"/>
      <c r="C22" s="66"/>
      <c r="D22" s="66"/>
      <c r="E22" s="22"/>
      <c r="F22" s="22"/>
      <c r="G22" s="22"/>
      <c r="H22" s="4"/>
    </row>
    <row r="23" spans="1:8" ht="12.75">
      <c r="A23" s="29"/>
      <c r="B23" s="66"/>
      <c r="C23" s="66"/>
      <c r="D23" s="66"/>
      <c r="E23" s="22"/>
      <c r="F23" s="22"/>
      <c r="G23" s="22"/>
      <c r="H23" s="4"/>
    </row>
    <row r="24" spans="1:8" ht="12.75">
      <c r="A24" s="29"/>
      <c r="B24" s="66"/>
      <c r="C24" s="66"/>
      <c r="D24" s="66"/>
      <c r="E24" s="22"/>
      <c r="F24" s="22"/>
      <c r="G24" s="22"/>
      <c r="H24" s="4"/>
    </row>
    <row r="25" spans="1:8" ht="12.75">
      <c r="A25" s="29"/>
      <c r="B25" s="66"/>
      <c r="C25" s="66"/>
      <c r="D25" s="66"/>
      <c r="E25" s="22"/>
      <c r="F25" s="22"/>
      <c r="G25" s="22"/>
      <c r="H25" s="4"/>
    </row>
    <row r="26" spans="1:8" ht="12.75">
      <c r="A26" s="29"/>
      <c r="B26" s="66"/>
      <c r="C26" s="66"/>
      <c r="D26" s="66"/>
      <c r="E26" s="22"/>
      <c r="F26" s="22"/>
      <c r="G26" s="22"/>
      <c r="H26" s="4"/>
    </row>
    <row r="27" spans="1:8" ht="12.75">
      <c r="A27" s="29"/>
      <c r="B27" s="66"/>
      <c r="C27" s="66"/>
      <c r="D27" s="66"/>
      <c r="E27" s="22"/>
      <c r="F27" s="22"/>
      <c r="G27" s="22"/>
      <c r="H27" s="4"/>
    </row>
    <row r="28" spans="1:8" ht="12.75">
      <c r="A28" s="29"/>
      <c r="B28" s="66"/>
      <c r="C28" s="66"/>
      <c r="D28" s="66"/>
      <c r="E28" s="22"/>
      <c r="F28" s="22"/>
      <c r="G28" s="22"/>
      <c r="H28" s="4"/>
    </row>
    <row r="29" spans="1:8" ht="12.75">
      <c r="A29" s="29"/>
      <c r="B29" s="66"/>
      <c r="C29" s="66"/>
      <c r="D29" s="66"/>
      <c r="E29" s="22"/>
      <c r="F29" s="22"/>
      <c r="G29" s="22"/>
      <c r="H29" s="4"/>
    </row>
    <row r="30" spans="1:8" ht="12.75">
      <c r="A30" s="29"/>
      <c r="B30" s="66"/>
      <c r="C30" s="66"/>
      <c r="D30" s="66"/>
      <c r="E30" s="22"/>
      <c r="F30" s="22"/>
      <c r="G30" s="22"/>
      <c r="H30" s="4"/>
    </row>
    <row r="31" spans="1:8" ht="12.75">
      <c r="A31" s="29"/>
      <c r="B31" s="66"/>
      <c r="C31" s="66"/>
      <c r="D31" s="66"/>
      <c r="E31" s="22"/>
      <c r="F31" s="22"/>
      <c r="G31" s="22"/>
      <c r="H31" s="4"/>
    </row>
    <row r="32" spans="1:8" ht="12.75">
      <c r="A32" s="29"/>
      <c r="B32" s="66"/>
      <c r="C32" s="66"/>
      <c r="D32" s="66"/>
      <c r="E32" s="22"/>
      <c r="F32" s="22"/>
      <c r="G32" s="22"/>
      <c r="H32" s="7"/>
    </row>
    <row r="33" spans="1:8" ht="12.75">
      <c r="A33" s="29"/>
      <c r="B33" s="66"/>
      <c r="C33" s="66"/>
      <c r="D33" s="66"/>
      <c r="E33" s="22"/>
      <c r="F33" s="22"/>
      <c r="G33" s="22"/>
      <c r="H33" s="7"/>
    </row>
    <row r="34" spans="1:8" ht="12.75">
      <c r="A34" s="14"/>
      <c r="B34" s="66"/>
      <c r="C34" s="66"/>
      <c r="D34" s="66"/>
      <c r="E34" s="22"/>
      <c r="F34" s="22"/>
      <c r="G34" s="22"/>
      <c r="H34" s="7"/>
    </row>
    <row r="35" spans="1:8" ht="12.75">
      <c r="A35" s="14"/>
      <c r="B35" s="66"/>
      <c r="C35" s="66"/>
      <c r="D35" s="66"/>
      <c r="E35" s="22"/>
      <c r="F35" s="22"/>
      <c r="G35" s="22"/>
      <c r="H35" s="7"/>
    </row>
    <row r="36" spans="1:8" ht="12.75">
      <c r="A36" s="14"/>
      <c r="B36" s="66"/>
      <c r="C36" s="66"/>
      <c r="D36" s="66"/>
      <c r="E36" s="22"/>
      <c r="F36" s="22"/>
      <c r="G36" s="22"/>
      <c r="H36" s="7"/>
    </row>
    <row r="37" spans="1:8" ht="12.75">
      <c r="A37" s="59"/>
      <c r="B37" s="14"/>
      <c r="C37" s="14"/>
      <c r="D37" s="14"/>
      <c r="E37" s="7"/>
      <c r="F37" s="7"/>
      <c r="G37" s="7"/>
      <c r="H37" s="7"/>
    </row>
    <row r="38" spans="2:4" ht="12.75">
      <c r="B38" s="5"/>
      <c r="C38" s="5"/>
      <c r="D38" s="5"/>
    </row>
    <row r="39" spans="2:4" ht="12.75">
      <c r="B39" s="5"/>
      <c r="C39" s="5"/>
      <c r="D39" s="5"/>
    </row>
    <row r="40" spans="2:4" ht="12.75">
      <c r="B40" s="5"/>
      <c r="C40" s="5"/>
      <c r="D40" s="5"/>
    </row>
    <row r="41" spans="2:4" ht="12.75">
      <c r="B41" s="5"/>
      <c r="C41" s="5"/>
      <c r="D41" s="5"/>
    </row>
    <row r="42" spans="2:4" ht="12.75">
      <c r="B42" s="5"/>
      <c r="C42" s="5"/>
      <c r="D42" s="5"/>
    </row>
    <row r="43" spans="2:4" ht="12.75">
      <c r="B43" s="5"/>
      <c r="C43" s="5"/>
      <c r="D43" s="5"/>
    </row>
    <row r="44" spans="2:4" ht="12.75">
      <c r="B44" s="5"/>
      <c r="C44" s="5"/>
      <c r="D44" s="5"/>
    </row>
    <row r="45" spans="2:4" ht="12.75">
      <c r="B45" s="5"/>
      <c r="C45" s="5"/>
      <c r="D45" s="5"/>
    </row>
    <row r="46" spans="2:4" ht="12.75">
      <c r="B46" s="5"/>
      <c r="C46" s="5"/>
      <c r="D46" s="5"/>
    </row>
    <row r="47" spans="2:4" ht="12.75">
      <c r="B47" s="5"/>
      <c r="C47" s="5"/>
      <c r="D47" s="5"/>
    </row>
    <row r="48" spans="2:4" ht="12.75">
      <c r="B48" s="5"/>
      <c r="C48" s="5"/>
      <c r="D48" s="5"/>
    </row>
    <row r="49" spans="2:4" ht="12.75">
      <c r="B49" s="5"/>
      <c r="C49" s="5"/>
      <c r="D49" s="5"/>
    </row>
    <row r="50" spans="2:4" ht="12.75">
      <c r="B50" s="5"/>
      <c r="C50" s="5"/>
      <c r="D50" s="5"/>
    </row>
    <row r="51" spans="2:4" ht="12.75">
      <c r="B51" s="5"/>
      <c r="C51" s="5"/>
      <c r="D51" s="5"/>
    </row>
    <row r="52" spans="2:4" ht="12.75">
      <c r="B52" s="5"/>
      <c r="C52" s="5"/>
      <c r="D52" s="5"/>
    </row>
    <row r="53" spans="2:4" ht="12.75">
      <c r="B53" s="5"/>
      <c r="C53" s="5"/>
      <c r="D53" s="5"/>
    </row>
    <row r="54" spans="2:4" ht="12.75">
      <c r="B54" s="5"/>
      <c r="C54" s="5"/>
      <c r="D54" s="5"/>
    </row>
    <row r="55" spans="2:4" ht="12.75">
      <c r="B55" s="5"/>
      <c r="C55" s="5"/>
      <c r="D55" s="5"/>
    </row>
    <row r="56" spans="2:4" ht="12.75">
      <c r="B56" s="5"/>
      <c r="C56" s="5"/>
      <c r="D56" s="5"/>
    </row>
    <row r="57" spans="2:4" ht="12.75">
      <c r="B57" s="5"/>
      <c r="C57" s="5"/>
      <c r="D57" s="5"/>
    </row>
    <row r="58" spans="2:4" ht="12.75">
      <c r="B58" s="5"/>
      <c r="C58" s="5"/>
      <c r="D58" s="5"/>
    </row>
    <row r="59" spans="2:4" ht="12.75">
      <c r="B59" s="5"/>
      <c r="C59" s="5"/>
      <c r="D59" s="5"/>
    </row>
    <row r="60" spans="2:4" ht="12.75">
      <c r="B60" s="5"/>
      <c r="C60" s="5"/>
      <c r="D60" s="5"/>
    </row>
    <row r="61" spans="2:4" ht="12.75">
      <c r="B61" s="5"/>
      <c r="C61" s="5"/>
      <c r="D61" s="5"/>
    </row>
    <row r="62" spans="2:4" ht="12.75">
      <c r="B62" s="5"/>
      <c r="C62" s="5"/>
      <c r="D62" s="5"/>
    </row>
    <row r="63" spans="2:4" ht="12.75">
      <c r="B63" s="5"/>
      <c r="C63" s="5"/>
      <c r="D63" s="5"/>
    </row>
    <row r="64" spans="2:4" ht="12.75">
      <c r="B64" s="5"/>
      <c r="C64" s="5"/>
      <c r="D64" s="5"/>
    </row>
    <row r="65" spans="2:4" ht="12.75">
      <c r="B65" s="5"/>
      <c r="C65" s="5"/>
      <c r="D65" s="5"/>
    </row>
    <row r="66" spans="2:4" ht="12.75">
      <c r="B66" s="5"/>
      <c r="C66" s="5"/>
      <c r="D66" s="5"/>
    </row>
    <row r="67" spans="2:4" ht="12.75">
      <c r="B67" s="5"/>
      <c r="C67" s="5"/>
      <c r="D67" s="5"/>
    </row>
    <row r="68" spans="2:4" ht="12.75">
      <c r="B68" s="5"/>
      <c r="C68" s="5"/>
      <c r="D68" s="5"/>
    </row>
    <row r="69" spans="2:4" ht="12.75">
      <c r="B69" s="5"/>
      <c r="C69" s="5"/>
      <c r="D69" s="5"/>
    </row>
    <row r="70" spans="2:4" ht="12.75">
      <c r="B70" s="5"/>
      <c r="C70" s="5"/>
      <c r="D70" s="5"/>
    </row>
    <row r="71" spans="2:4" ht="12.75">
      <c r="B71" s="5"/>
      <c r="C71" s="5"/>
      <c r="D71" s="5"/>
    </row>
    <row r="72" spans="2:4" ht="12.75">
      <c r="B72" s="5"/>
      <c r="C72" s="5"/>
      <c r="D72" s="5"/>
    </row>
    <row r="73" spans="2:4" ht="12.75">
      <c r="B73" s="5"/>
      <c r="C73" s="5"/>
      <c r="D73" s="5"/>
    </row>
  </sheetData>
  <printOptions/>
  <pageMargins left="0.75" right="0.75" top="0.5" bottom="0.5" header="0.5" footer="0.5"/>
  <pageSetup fitToHeight="1" fitToWidth="1"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workbookViewId="0" topLeftCell="A1">
      <selection activeCell="A20" sqref="A20"/>
    </sheetView>
  </sheetViews>
  <sheetFormatPr defaultColWidth="9.140625" defaultRowHeight="12.75"/>
  <cols>
    <col min="1" max="1" width="36.57421875" style="0" customWidth="1"/>
    <col min="2" max="2" width="9.7109375" style="0" customWidth="1"/>
    <col min="3" max="4" width="13.28125" style="0" customWidth="1"/>
    <col min="5" max="6" width="11.28125" style="0" customWidth="1"/>
    <col min="7" max="7" width="14.28125" style="0" customWidth="1"/>
    <col min="8" max="8" width="12.7109375" style="0" customWidth="1"/>
    <col min="9" max="9" width="12.421875" style="0" customWidth="1"/>
    <col min="10" max="10" width="11.00390625" style="0" customWidth="1"/>
  </cols>
  <sheetData>
    <row r="1" spans="1:9" ht="18.75">
      <c r="A1" s="9" t="s">
        <v>135</v>
      </c>
      <c r="B1" s="10"/>
      <c r="C1" s="11"/>
      <c r="D1" s="11"/>
      <c r="E1" s="85"/>
      <c r="F1" s="85"/>
      <c r="G1" s="44"/>
      <c r="H1" s="7"/>
      <c r="I1" s="7"/>
    </row>
    <row r="2" spans="1:9" ht="12.75">
      <c r="A2" s="26"/>
      <c r="B2" s="163"/>
      <c r="C2" s="164" t="s">
        <v>133</v>
      </c>
      <c r="D2" s="164" t="s">
        <v>154</v>
      </c>
      <c r="E2" s="165">
        <f>MAX(C6:C18)</f>
        <v>72.6</v>
      </c>
      <c r="F2" s="165"/>
      <c r="G2" s="26" t="s">
        <v>90</v>
      </c>
      <c r="H2" s="7"/>
      <c r="I2" s="7"/>
    </row>
    <row r="3" spans="1:9" s="83" customFormat="1" ht="12.75" customHeight="1">
      <c r="A3" s="26"/>
      <c r="B3" s="26"/>
      <c r="C3" s="164" t="s">
        <v>134</v>
      </c>
      <c r="D3" s="164" t="s">
        <v>154</v>
      </c>
      <c r="E3" s="165">
        <v>20.9</v>
      </c>
      <c r="F3" s="165"/>
      <c r="G3" s="26" t="s">
        <v>90</v>
      </c>
      <c r="H3" s="44"/>
      <c r="I3" s="44"/>
    </row>
    <row r="4" spans="1:8" ht="12.75">
      <c r="A4" s="26"/>
      <c r="B4" s="19"/>
      <c r="C4" s="29"/>
      <c r="D4" s="29"/>
      <c r="E4" s="26"/>
      <c r="F4" s="26"/>
      <c r="G4" s="26"/>
      <c r="H4" s="7"/>
    </row>
    <row r="5" spans="1:8" ht="27" customHeight="1">
      <c r="A5" s="101"/>
      <c r="B5" s="45" t="s">
        <v>186</v>
      </c>
      <c r="C5" s="45" t="s">
        <v>186</v>
      </c>
      <c r="D5" s="45" t="s">
        <v>151</v>
      </c>
      <c r="E5" s="166" t="s">
        <v>152</v>
      </c>
      <c r="F5" s="166" t="s">
        <v>153</v>
      </c>
      <c r="G5" s="24" t="s">
        <v>40</v>
      </c>
      <c r="H5" s="22"/>
    </row>
    <row r="6" spans="1:9" ht="12.75">
      <c r="A6" s="189" t="s">
        <v>112</v>
      </c>
      <c r="B6" s="167">
        <v>58.1</v>
      </c>
      <c r="C6" s="151">
        <f>MAX(B6:B6)</f>
        <v>58.1</v>
      </c>
      <c r="D6" s="151">
        <f>IF(C6&gt;$C$19,25,0)</f>
        <v>25</v>
      </c>
      <c r="E6" s="70">
        <f>IF(D6&gt;0,50*(($E$3/C6)^2-1)/(($E$3/$E$2)^2-1),0)</f>
        <v>47.46340140464076</v>
      </c>
      <c r="F6" s="70">
        <f>D6+E6</f>
        <v>72.46340140464076</v>
      </c>
      <c r="G6" s="33">
        <f>RANK(F6,$F$6:$F$18)</f>
        <v>4</v>
      </c>
      <c r="H6" s="22"/>
      <c r="I6" s="70"/>
    </row>
    <row r="7" spans="1:9" ht="12.75">
      <c r="A7" s="189" t="s">
        <v>121</v>
      </c>
      <c r="B7" s="64">
        <v>49.1</v>
      </c>
      <c r="C7" s="151">
        <f>MAX(B7:B7)</f>
        <v>49.1</v>
      </c>
      <c r="D7" s="151">
        <f aca="true" t="shared" si="0" ref="D7:D18">IF(C7&gt;$C$19,25,0)</f>
        <v>25</v>
      </c>
      <c r="E7" s="70">
        <f aca="true" t="shared" si="1" ref="E7:E18">IF(D7&gt;0,50*(($E$3/C7)^2-1)/(($E$3/$E$2)^2-1),0)</f>
        <v>44.64010997524142</v>
      </c>
      <c r="F7" s="70">
        <f>D7+E7</f>
        <v>69.64010997524142</v>
      </c>
      <c r="G7" s="33">
        <f aca="true" t="shared" si="2" ref="G7:G18">RANK(F7,$F$6:$F$18)</f>
        <v>5</v>
      </c>
      <c r="H7" s="22"/>
      <c r="I7" s="70"/>
    </row>
    <row r="8" spans="1:9" ht="12.75">
      <c r="A8" t="s">
        <v>149</v>
      </c>
      <c r="B8" s="64">
        <v>61.7</v>
      </c>
      <c r="C8" s="151">
        <f>MAX(B8:B8)</f>
        <v>61.7</v>
      </c>
      <c r="D8" s="151">
        <f t="shared" si="0"/>
        <v>25</v>
      </c>
      <c r="E8" s="70">
        <f t="shared" si="1"/>
        <v>48.26262885161803</v>
      </c>
      <c r="F8" s="70">
        <f>D8+E8</f>
        <v>73.26262885161803</v>
      </c>
      <c r="G8" s="33">
        <f t="shared" si="2"/>
        <v>3</v>
      </c>
      <c r="H8" s="22"/>
      <c r="I8" s="70"/>
    </row>
    <row r="9" spans="1:9" ht="12.75">
      <c r="A9" s="189" t="s">
        <v>113</v>
      </c>
      <c r="B9" s="64">
        <v>72.6</v>
      </c>
      <c r="C9" s="151">
        <f>MAX(B9:B9)</f>
        <v>72.6</v>
      </c>
      <c r="D9" s="151">
        <f t="shared" si="0"/>
        <v>25</v>
      </c>
      <c r="E9" s="70">
        <f t="shared" si="1"/>
        <v>50</v>
      </c>
      <c r="F9" s="70">
        <f>D9+E9</f>
        <v>75</v>
      </c>
      <c r="G9" s="33">
        <f t="shared" si="2"/>
        <v>1</v>
      </c>
      <c r="H9" s="22"/>
      <c r="I9" s="70"/>
    </row>
    <row r="10" spans="1:9" ht="12.75">
      <c r="A10" s="189" t="s">
        <v>114</v>
      </c>
      <c r="B10" s="64">
        <v>72.2</v>
      </c>
      <c r="C10" s="151">
        <f>MAX(B10:B10)</f>
        <v>72.2</v>
      </c>
      <c r="D10" s="151">
        <f t="shared" si="0"/>
        <v>25</v>
      </c>
      <c r="E10" s="70">
        <f t="shared" si="1"/>
        <v>49.94979874427522</v>
      </c>
      <c r="F10" s="70">
        <f>D10+E10</f>
        <v>74.94979874427523</v>
      </c>
      <c r="G10" s="33">
        <f t="shared" si="2"/>
        <v>2</v>
      </c>
      <c r="H10" s="22"/>
      <c r="I10" s="70"/>
    </row>
    <row r="11" spans="1:9" ht="12.75">
      <c r="A11" s="189" t="s">
        <v>115</v>
      </c>
      <c r="B11" s="64">
        <v>40.4</v>
      </c>
      <c r="C11" s="151">
        <f>MAX(B11:B11)</f>
        <v>40.4</v>
      </c>
      <c r="D11" s="151">
        <f t="shared" si="0"/>
        <v>25</v>
      </c>
      <c r="E11" s="70">
        <f t="shared" si="1"/>
        <v>39.92762219071261</v>
      </c>
      <c r="F11" s="70">
        <f>D11+E11</f>
        <v>64.92762219071261</v>
      </c>
      <c r="G11" s="33">
        <f t="shared" si="2"/>
        <v>6</v>
      </c>
      <c r="H11" s="22"/>
      <c r="I11" s="70"/>
    </row>
    <row r="12" spans="1:9" ht="25.5">
      <c r="A12" s="189" t="s">
        <v>116</v>
      </c>
      <c r="B12" s="64">
        <v>20.9</v>
      </c>
      <c r="C12" s="151">
        <f>MAX(B12:B12)</f>
        <v>20.9</v>
      </c>
      <c r="D12" s="151">
        <f t="shared" si="0"/>
        <v>25</v>
      </c>
      <c r="E12" s="70">
        <f t="shared" si="1"/>
        <v>0</v>
      </c>
      <c r="F12" s="70">
        <f>D12+E12</f>
        <v>25</v>
      </c>
      <c r="G12" s="33">
        <f t="shared" si="2"/>
        <v>10</v>
      </c>
      <c r="H12" s="22"/>
      <c r="I12" s="70"/>
    </row>
    <row r="13" spans="1:9" ht="12.75">
      <c r="A13" s="189" t="s">
        <v>117</v>
      </c>
      <c r="B13" s="64">
        <v>37.4</v>
      </c>
      <c r="C13" s="151">
        <f>MAX(B13:B13)</f>
        <v>37.4</v>
      </c>
      <c r="D13" s="151">
        <f t="shared" si="0"/>
        <v>25</v>
      </c>
      <c r="E13" s="70">
        <f t="shared" si="1"/>
        <v>37.493016790018665</v>
      </c>
      <c r="F13" s="70">
        <f>D13+E13</f>
        <v>62.493016790018665</v>
      </c>
      <c r="G13" s="33">
        <f t="shared" si="2"/>
        <v>7</v>
      </c>
      <c r="H13" s="22"/>
      <c r="I13" s="70"/>
    </row>
    <row r="14" spans="1:9" ht="12.75">
      <c r="A14" s="189" t="s">
        <v>122</v>
      </c>
      <c r="B14" s="64"/>
      <c r="C14" s="151">
        <f>MAX(B14:B14)</f>
        <v>0</v>
      </c>
      <c r="D14" s="151">
        <f t="shared" si="0"/>
        <v>0</v>
      </c>
      <c r="E14" s="70">
        <f t="shared" si="1"/>
        <v>0</v>
      </c>
      <c r="F14" s="70">
        <f>D14+E14</f>
        <v>0</v>
      </c>
      <c r="G14" s="33">
        <f t="shared" si="2"/>
        <v>11</v>
      </c>
      <c r="H14" s="22"/>
      <c r="I14" s="70"/>
    </row>
    <row r="15" spans="1:9" ht="12.75">
      <c r="A15" s="189" t="s">
        <v>118</v>
      </c>
      <c r="B15" s="64">
        <v>36.3</v>
      </c>
      <c r="C15" s="151">
        <f>MAX(B15:B15)</f>
        <v>36.3</v>
      </c>
      <c r="D15" s="151">
        <f t="shared" si="0"/>
        <v>25</v>
      </c>
      <c r="E15" s="70">
        <f t="shared" si="1"/>
        <v>36.44555694618273</v>
      </c>
      <c r="F15" s="70">
        <f>D15+E15</f>
        <v>61.44555694618273</v>
      </c>
      <c r="G15" s="33">
        <f t="shared" si="2"/>
        <v>8</v>
      </c>
      <c r="H15" s="22"/>
      <c r="I15" s="70"/>
    </row>
    <row r="16" spans="1:9" ht="12.75">
      <c r="A16" s="189" t="s">
        <v>111</v>
      </c>
      <c r="B16" s="64"/>
      <c r="C16" s="151">
        <f>MAX(B16:B16)</f>
        <v>0</v>
      </c>
      <c r="D16" s="151">
        <f t="shared" si="0"/>
        <v>0</v>
      </c>
      <c r="E16" s="70">
        <f t="shared" si="1"/>
        <v>0</v>
      </c>
      <c r="F16" s="70">
        <f>D16+E16</f>
        <v>0</v>
      </c>
      <c r="G16" s="33">
        <f t="shared" si="2"/>
        <v>11</v>
      </c>
      <c r="H16" s="22"/>
      <c r="I16" s="70"/>
    </row>
    <row r="17" spans="1:9" ht="12.75">
      <c r="A17" s="189" t="s">
        <v>119</v>
      </c>
      <c r="B17" s="64">
        <v>29.8</v>
      </c>
      <c r="C17" s="151">
        <f>MAX(B17:B17)</f>
        <v>29.8</v>
      </c>
      <c r="D17" s="151">
        <f t="shared" si="0"/>
        <v>25</v>
      </c>
      <c r="E17" s="70">
        <f t="shared" si="1"/>
        <v>27.701706882262805</v>
      </c>
      <c r="F17" s="70">
        <f>D17+E17</f>
        <v>52.701706882262805</v>
      </c>
      <c r="G17" s="33">
        <f t="shared" si="2"/>
        <v>9</v>
      </c>
      <c r="H17" s="22"/>
      <c r="I17" s="70"/>
    </row>
    <row r="18" spans="1:9" ht="12.75">
      <c r="A18" s="189" t="s">
        <v>120</v>
      </c>
      <c r="B18" s="64"/>
      <c r="C18" s="151">
        <f>MAX(B18:B18)</f>
        <v>0</v>
      </c>
      <c r="D18" s="151">
        <f t="shared" si="0"/>
        <v>0</v>
      </c>
      <c r="E18" s="70">
        <f t="shared" si="1"/>
        <v>0</v>
      </c>
      <c r="F18" s="70">
        <f>D18+E18</f>
        <v>0</v>
      </c>
      <c r="G18" s="33">
        <f t="shared" si="2"/>
        <v>11</v>
      </c>
      <c r="H18" s="22"/>
      <c r="I18" s="70"/>
    </row>
    <row r="19" spans="1:9" ht="12.75">
      <c r="A19" s="29"/>
      <c r="B19" s="176"/>
      <c r="C19" s="176"/>
      <c r="D19" s="175"/>
      <c r="E19" s="175"/>
      <c r="F19" s="60"/>
      <c r="G19" s="6"/>
      <c r="H19" s="6"/>
      <c r="I19" s="3"/>
    </row>
    <row r="20" spans="1:9" ht="12.75">
      <c r="A20" s="29" t="s">
        <v>193</v>
      </c>
      <c r="B20" s="69" t="s">
        <v>90</v>
      </c>
      <c r="C20" s="66" t="s">
        <v>90</v>
      </c>
      <c r="D20" s="66"/>
      <c r="E20" s="22"/>
      <c r="F20" s="22"/>
      <c r="G20" s="22"/>
      <c r="H20" s="22"/>
      <c r="I20" s="4"/>
    </row>
    <row r="21" spans="1:9" ht="12.75">
      <c r="A21" s="19"/>
      <c r="B21" s="194"/>
      <c r="C21" s="66"/>
      <c r="D21" s="66"/>
      <c r="E21" s="22"/>
      <c r="F21" s="22"/>
      <c r="G21" s="22"/>
      <c r="H21" s="22"/>
      <c r="I21" s="4"/>
    </row>
    <row r="22" spans="1:9" ht="12.75">
      <c r="A22" s="29" t="s">
        <v>189</v>
      </c>
      <c r="B22" s="66"/>
      <c r="C22" s="66"/>
      <c r="D22" s="66"/>
      <c r="E22" s="22"/>
      <c r="F22" s="22"/>
      <c r="G22" s="22"/>
      <c r="H22" s="22"/>
      <c r="I22" s="4"/>
    </row>
    <row r="23" spans="1:9" ht="12.75">
      <c r="A23" s="29"/>
      <c r="B23" s="66"/>
      <c r="C23" s="66"/>
      <c r="D23" s="66"/>
      <c r="E23" s="22"/>
      <c r="F23" s="22"/>
      <c r="G23" s="22"/>
      <c r="H23" s="22"/>
      <c r="I23" s="4"/>
    </row>
    <row r="24" spans="1:9" ht="12.75">
      <c r="A24" s="29" t="s">
        <v>188</v>
      </c>
      <c r="B24" s="66"/>
      <c r="C24" s="66"/>
      <c r="D24" s="66"/>
      <c r="E24" s="22"/>
      <c r="F24" s="22"/>
      <c r="G24" s="22"/>
      <c r="H24" s="22"/>
      <c r="I24" s="4"/>
    </row>
    <row r="25" spans="1:9" ht="12.75">
      <c r="A25" s="29"/>
      <c r="B25" s="66"/>
      <c r="C25" s="66"/>
      <c r="D25" s="66"/>
      <c r="E25" s="22"/>
      <c r="F25" s="22"/>
      <c r="G25" s="22"/>
      <c r="H25" s="22"/>
      <c r="I25" s="4"/>
    </row>
    <row r="26" spans="1:9" ht="12.75">
      <c r="A26" s="29"/>
      <c r="B26" s="66"/>
      <c r="C26" s="66"/>
      <c r="D26" s="66"/>
      <c r="E26" s="22"/>
      <c r="F26" s="22"/>
      <c r="G26" s="22"/>
      <c r="H26" s="22"/>
      <c r="I26" s="4"/>
    </row>
    <row r="27" spans="1:9" ht="12.75">
      <c r="A27" s="29"/>
      <c r="B27" s="66"/>
      <c r="C27" s="66"/>
      <c r="D27" s="66"/>
      <c r="E27" s="22"/>
      <c r="F27" s="22"/>
      <c r="G27" s="22"/>
      <c r="H27" s="22"/>
      <c r="I27" s="4"/>
    </row>
    <row r="28" spans="1:9" ht="12.75">
      <c r="A28" s="29"/>
      <c r="B28" s="66"/>
      <c r="C28" s="66"/>
      <c r="D28" s="66"/>
      <c r="E28" s="22"/>
      <c r="F28" s="22"/>
      <c r="G28" s="22"/>
      <c r="H28" s="22"/>
      <c r="I28" s="4"/>
    </row>
    <row r="29" spans="1:9" ht="12.75">
      <c r="A29" s="29"/>
      <c r="B29" s="66"/>
      <c r="C29" s="66"/>
      <c r="D29" s="66"/>
      <c r="E29" s="22"/>
      <c r="F29" s="22"/>
      <c r="G29" s="22"/>
      <c r="H29" s="22"/>
      <c r="I29" s="4"/>
    </row>
    <row r="30" spans="1:9" ht="12.75">
      <c r="A30" s="29"/>
      <c r="B30" s="66"/>
      <c r="C30" s="66"/>
      <c r="D30" s="66"/>
      <c r="E30" s="22"/>
      <c r="F30" s="22"/>
      <c r="G30" s="22"/>
      <c r="H30" s="22"/>
      <c r="I30" s="4"/>
    </row>
    <row r="31" spans="1:9" ht="12.75">
      <c r="A31" s="29"/>
      <c r="B31" s="66"/>
      <c r="C31" s="66"/>
      <c r="D31" s="66"/>
      <c r="E31" s="22"/>
      <c r="F31" s="22"/>
      <c r="G31" s="22"/>
      <c r="H31" s="22"/>
      <c r="I31" s="4"/>
    </row>
    <row r="32" spans="1:9" ht="12.75">
      <c r="A32" s="29"/>
      <c r="B32" s="66"/>
      <c r="C32" s="66"/>
      <c r="D32" s="66"/>
      <c r="E32" s="22"/>
      <c r="F32" s="22"/>
      <c r="G32" s="22"/>
      <c r="H32" s="22"/>
      <c r="I32" s="4"/>
    </row>
    <row r="33" spans="1:9" ht="12.75">
      <c r="A33" s="29"/>
      <c r="B33" s="66"/>
      <c r="C33" s="66"/>
      <c r="D33" s="66"/>
      <c r="E33" s="22"/>
      <c r="F33" s="22"/>
      <c r="G33" s="22"/>
      <c r="H33" s="22"/>
      <c r="I33" s="7"/>
    </row>
    <row r="34" spans="1:9" ht="12.75">
      <c r="A34" s="29"/>
      <c r="B34" s="66"/>
      <c r="C34" s="66"/>
      <c r="D34" s="66"/>
      <c r="E34" s="22"/>
      <c r="F34" s="22"/>
      <c r="G34" s="22"/>
      <c r="H34" s="22"/>
      <c r="I34" s="7"/>
    </row>
    <row r="35" spans="1:9" ht="12.75">
      <c r="A35" s="14"/>
      <c r="B35" s="66"/>
      <c r="C35" s="66"/>
      <c r="D35" s="66"/>
      <c r="E35" s="22"/>
      <c r="F35" s="22"/>
      <c r="G35" s="22"/>
      <c r="H35" s="22"/>
      <c r="I35" s="7"/>
    </row>
    <row r="36" spans="1:9" ht="12.75">
      <c r="A36" s="14"/>
      <c r="B36" s="66"/>
      <c r="C36" s="66"/>
      <c r="D36" s="66"/>
      <c r="E36" s="22"/>
      <c r="F36" s="22"/>
      <c r="G36" s="22"/>
      <c r="H36" s="22"/>
      <c r="I36" s="7"/>
    </row>
    <row r="37" spans="1:9" ht="12.75">
      <c r="A37" s="14"/>
      <c r="B37" s="66"/>
      <c r="C37" s="66"/>
      <c r="D37" s="66"/>
      <c r="E37" s="22"/>
      <c r="F37" s="22"/>
      <c r="G37" s="22"/>
      <c r="H37" s="22"/>
      <c r="I37" s="7"/>
    </row>
    <row r="38" spans="1:9" ht="12.75">
      <c r="A38" s="59"/>
      <c r="B38" s="14"/>
      <c r="C38" s="14"/>
      <c r="D38" s="14"/>
      <c r="E38" s="7"/>
      <c r="F38" s="7"/>
      <c r="G38" s="7"/>
      <c r="H38" s="7"/>
      <c r="I38" s="7"/>
    </row>
    <row r="39" spans="2:4" ht="12.75">
      <c r="B39" s="5"/>
      <c r="C39" s="5"/>
      <c r="D39" s="5"/>
    </row>
    <row r="40" spans="2:4" ht="12.75">
      <c r="B40" s="5"/>
      <c r="C40" s="5"/>
      <c r="D40" s="5"/>
    </row>
    <row r="41" spans="2:4" ht="12.75">
      <c r="B41" s="5"/>
      <c r="C41" s="5"/>
      <c r="D41" s="5"/>
    </row>
    <row r="42" spans="2:4" ht="12.75">
      <c r="B42" s="5"/>
      <c r="C42" s="5"/>
      <c r="D42" s="5"/>
    </row>
    <row r="43" spans="2:4" ht="12.75">
      <c r="B43" s="5"/>
      <c r="C43" s="5"/>
      <c r="D43" s="5"/>
    </row>
    <row r="44" spans="2:4" ht="12.75">
      <c r="B44" s="5"/>
      <c r="C44" s="5"/>
      <c r="D44" s="5"/>
    </row>
    <row r="45" spans="2:4" ht="12.75">
      <c r="B45" s="5"/>
      <c r="C45" s="5"/>
      <c r="D45" s="5"/>
    </row>
    <row r="46" spans="2:4" ht="12.75">
      <c r="B46" s="5"/>
      <c r="C46" s="5"/>
      <c r="D46" s="5"/>
    </row>
    <row r="47" spans="2:4" ht="12.75">
      <c r="B47" s="5"/>
      <c r="C47" s="5"/>
      <c r="D47" s="5"/>
    </row>
    <row r="48" spans="2:4" ht="12.75">
      <c r="B48" s="5"/>
      <c r="C48" s="5"/>
      <c r="D48" s="5"/>
    </row>
    <row r="49" spans="2:4" ht="12.75">
      <c r="B49" s="5"/>
      <c r="C49" s="5"/>
      <c r="D49" s="5"/>
    </row>
    <row r="50" spans="2:4" ht="12.75">
      <c r="B50" s="5"/>
      <c r="C50" s="5"/>
      <c r="D50" s="5"/>
    </row>
    <row r="51" spans="2:4" ht="12.75">
      <c r="B51" s="5"/>
      <c r="C51" s="5"/>
      <c r="D51" s="5"/>
    </row>
    <row r="52" spans="2:4" ht="12.75">
      <c r="B52" s="5"/>
      <c r="C52" s="5"/>
      <c r="D52" s="5"/>
    </row>
    <row r="53" spans="2:4" ht="12.75">
      <c r="B53" s="5"/>
      <c r="C53" s="5"/>
      <c r="D53" s="5"/>
    </row>
    <row r="54" spans="2:4" ht="12.75">
      <c r="B54" s="5"/>
      <c r="C54" s="5"/>
      <c r="D54" s="5"/>
    </row>
    <row r="55" spans="2:4" ht="12.75">
      <c r="B55" s="5"/>
      <c r="C55" s="5"/>
      <c r="D55" s="5"/>
    </row>
    <row r="56" spans="2:4" ht="12.75">
      <c r="B56" s="5"/>
      <c r="C56" s="5"/>
      <c r="D56" s="5"/>
    </row>
    <row r="57" spans="2:4" ht="12.75">
      <c r="B57" s="5"/>
      <c r="C57" s="5"/>
      <c r="D57" s="5"/>
    </row>
    <row r="58" spans="2:4" ht="12.75">
      <c r="B58" s="5"/>
      <c r="C58" s="5"/>
      <c r="D58" s="5"/>
    </row>
    <row r="59" spans="2:4" ht="12.75">
      <c r="B59" s="5"/>
      <c r="C59" s="5"/>
      <c r="D59" s="5"/>
    </row>
    <row r="60" spans="2:4" ht="12.75">
      <c r="B60" s="5"/>
      <c r="C60" s="5"/>
      <c r="D60" s="5"/>
    </row>
    <row r="61" spans="2:4" ht="12.75">
      <c r="B61" s="5"/>
      <c r="C61" s="5"/>
      <c r="D61" s="5"/>
    </row>
    <row r="62" spans="2:4" ht="12.75">
      <c r="B62" s="5"/>
      <c r="C62" s="5"/>
      <c r="D62" s="5"/>
    </row>
    <row r="63" spans="2:4" ht="12.75">
      <c r="B63" s="5"/>
      <c r="C63" s="5"/>
      <c r="D63" s="5"/>
    </row>
    <row r="64" spans="2:4" ht="12.75">
      <c r="B64" s="5"/>
      <c r="C64" s="5"/>
      <c r="D64" s="5"/>
    </row>
    <row r="65" spans="2:4" ht="12.75">
      <c r="B65" s="5"/>
      <c r="C65" s="5"/>
      <c r="D65" s="5"/>
    </row>
    <row r="66" spans="2:4" ht="12.75">
      <c r="B66" s="5"/>
      <c r="C66" s="5"/>
      <c r="D66" s="5"/>
    </row>
    <row r="67" spans="2:4" ht="12.75">
      <c r="B67" s="5"/>
      <c r="C67" s="5"/>
      <c r="D67" s="5"/>
    </row>
    <row r="68" spans="2:4" ht="12.75">
      <c r="B68" s="5"/>
      <c r="C68" s="5"/>
      <c r="D68" s="5"/>
    </row>
    <row r="69" spans="2:4" ht="12.75">
      <c r="B69" s="5"/>
      <c r="C69" s="5"/>
      <c r="D69" s="5"/>
    </row>
    <row r="70" spans="2:4" ht="12.75">
      <c r="B70" s="5"/>
      <c r="C70" s="5"/>
      <c r="D70" s="5"/>
    </row>
    <row r="71" spans="2:4" ht="12.75">
      <c r="B71" s="5"/>
      <c r="C71" s="5"/>
      <c r="D71" s="5"/>
    </row>
    <row r="72" spans="2:4" ht="12.75">
      <c r="B72" s="5"/>
      <c r="C72" s="5"/>
      <c r="D72" s="5"/>
    </row>
    <row r="73" spans="2:4" ht="12.75">
      <c r="B73" s="5"/>
      <c r="C73" s="5"/>
      <c r="D73" s="5"/>
    </row>
    <row r="74" spans="2:4" ht="12.75">
      <c r="B74" s="5"/>
      <c r="C74" s="5"/>
      <c r="D74" s="5"/>
    </row>
  </sheetData>
  <printOptions/>
  <pageMargins left="0.75" right="0.75" top="0.5" bottom="0.5" header="0.5" footer="0.5"/>
  <pageSetup fitToHeight="1" fitToWidth="1"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1"/>
  <sheetViews>
    <sheetView workbookViewId="0" topLeftCell="A1">
      <selection activeCell="J31" sqref="J31"/>
    </sheetView>
  </sheetViews>
  <sheetFormatPr defaultColWidth="9.140625" defaultRowHeight="12.75"/>
  <cols>
    <col min="1" max="1" width="40.8515625" style="0" customWidth="1"/>
    <col min="2" max="2" width="11.28125" style="0" customWidth="1"/>
    <col min="3" max="3" width="12.57421875" style="0" customWidth="1"/>
    <col min="4" max="4" width="8.57421875" style="0" customWidth="1"/>
    <col min="5" max="5" width="12.421875" style="0" customWidth="1"/>
    <col min="6" max="7" width="9.28125" style="0" customWidth="1"/>
    <col min="8" max="8" width="4.00390625" style="0" customWidth="1"/>
    <col min="10" max="10" width="10.00390625" style="0" customWidth="1"/>
    <col min="11" max="11" width="8.7109375" style="4" customWidth="1"/>
    <col min="12" max="12" width="10.7109375" style="4" customWidth="1"/>
    <col min="13" max="13" width="8.7109375" style="4" customWidth="1"/>
    <col min="14" max="14" width="3.00390625" style="4" customWidth="1"/>
    <col min="15" max="21" width="8.7109375" style="47" customWidth="1"/>
    <col min="22" max="22" width="10.00390625" style="47" customWidth="1"/>
    <col min="23" max="24" width="8.7109375" style="47" customWidth="1"/>
    <col min="25" max="25" width="8.7109375" style="0" customWidth="1"/>
    <col min="26" max="26" width="2.140625" style="0" customWidth="1"/>
    <col min="27" max="27" width="16.28125" style="4" customWidth="1"/>
    <col min="28" max="28" width="12.7109375" style="4" customWidth="1"/>
    <col min="29" max="32" width="8.7109375" style="0" customWidth="1"/>
  </cols>
  <sheetData>
    <row r="1" spans="1:31" ht="18.75">
      <c r="A1" s="142" t="s">
        <v>137</v>
      </c>
      <c r="B1" s="26"/>
      <c r="C1" s="26"/>
      <c r="D1" s="26"/>
      <c r="E1" s="26"/>
      <c r="F1" s="26"/>
      <c r="G1" s="26"/>
      <c r="H1" s="26"/>
      <c r="I1" s="26"/>
      <c r="J1" s="26"/>
      <c r="K1" s="33"/>
      <c r="L1" s="33"/>
      <c r="M1" s="33"/>
      <c r="N1" s="33"/>
      <c r="O1" s="143"/>
      <c r="P1" s="105"/>
      <c r="Q1" s="106"/>
      <c r="R1" s="106"/>
      <c r="S1" s="106"/>
      <c r="T1" s="106"/>
      <c r="U1" s="106"/>
      <c r="V1" s="106"/>
      <c r="W1" s="106"/>
      <c r="X1" s="106"/>
      <c r="Y1" s="107"/>
      <c r="Z1" s="108"/>
      <c r="AA1" s="109"/>
      <c r="AB1" s="76"/>
      <c r="AC1" s="1"/>
      <c r="AD1" s="1"/>
      <c r="AE1" s="1"/>
    </row>
    <row r="2" spans="1:31" ht="12.75">
      <c r="A2" s="97"/>
      <c r="B2" s="29"/>
      <c r="C2" s="29"/>
      <c r="D2" s="29"/>
      <c r="E2" s="29"/>
      <c r="F2" s="29"/>
      <c r="G2" s="29"/>
      <c r="H2" s="29"/>
      <c r="I2" s="29"/>
      <c r="J2" s="29"/>
      <c r="K2" s="144"/>
      <c r="L2" s="60"/>
      <c r="M2" s="60"/>
      <c r="N2" s="60"/>
      <c r="O2" s="145"/>
      <c r="P2" s="112"/>
      <c r="Q2" s="112"/>
      <c r="R2" s="106"/>
      <c r="S2" s="106"/>
      <c r="T2" s="106"/>
      <c r="U2" s="106"/>
      <c r="V2" s="106"/>
      <c r="W2" s="106"/>
      <c r="X2" s="106"/>
      <c r="Y2" s="107"/>
      <c r="Z2" s="108"/>
      <c r="AA2" s="109"/>
      <c r="AB2" s="76"/>
      <c r="AC2" s="1"/>
      <c r="AD2" s="1"/>
      <c r="AE2" s="1"/>
    </row>
    <row r="3" spans="1:31" ht="12.75">
      <c r="A3" s="19"/>
      <c r="B3" s="19" t="s">
        <v>65</v>
      </c>
      <c r="C3" s="28"/>
      <c r="D3" s="28"/>
      <c r="E3" s="28"/>
      <c r="F3" s="28"/>
      <c r="G3" s="28"/>
      <c r="H3" s="28"/>
      <c r="I3" s="19" t="s">
        <v>70</v>
      </c>
      <c r="J3" s="28"/>
      <c r="K3" s="33"/>
      <c r="L3" s="28"/>
      <c r="M3" s="28"/>
      <c r="N3" s="28"/>
      <c r="O3" s="146"/>
      <c r="P3" s="115"/>
      <c r="Q3" s="112"/>
      <c r="R3" s="106"/>
      <c r="S3" s="106"/>
      <c r="T3" s="106"/>
      <c r="U3" s="106"/>
      <c r="V3" s="106"/>
      <c r="W3" s="106"/>
      <c r="X3" s="106"/>
      <c r="Y3" s="107"/>
      <c r="Z3" s="108"/>
      <c r="AA3" s="109"/>
      <c r="AB3" s="76"/>
      <c r="AC3" s="1"/>
      <c r="AD3" s="1"/>
      <c r="AE3" s="1"/>
    </row>
    <row r="4" spans="1:31" ht="12.75">
      <c r="A4" s="19"/>
      <c r="B4" s="19"/>
      <c r="C4" s="28"/>
      <c r="D4" s="28"/>
      <c r="E4" s="28"/>
      <c r="F4" s="28"/>
      <c r="G4" s="28"/>
      <c r="H4" s="28"/>
      <c r="I4" s="28"/>
      <c r="J4" s="28"/>
      <c r="K4" s="33"/>
      <c r="L4" s="28"/>
      <c r="M4" s="28"/>
      <c r="N4" s="28"/>
      <c r="O4" s="146"/>
      <c r="P4" s="115"/>
      <c r="Q4" s="112"/>
      <c r="R4" s="106"/>
      <c r="S4" s="106"/>
      <c r="T4" s="106"/>
      <c r="U4" s="106"/>
      <c r="V4" s="106"/>
      <c r="W4" s="106"/>
      <c r="X4" s="106"/>
      <c r="Y4" s="107"/>
      <c r="Z4" s="108"/>
      <c r="AA4" s="109"/>
      <c r="AB4" s="76"/>
      <c r="AC4" s="1"/>
      <c r="AD4" s="1"/>
      <c r="AE4" s="1"/>
    </row>
    <row r="5" spans="2:27" ht="12.75">
      <c r="B5" s="28" t="s">
        <v>66</v>
      </c>
      <c r="C5" s="45" t="s">
        <v>67</v>
      </c>
      <c r="D5" s="28" t="s">
        <v>68</v>
      </c>
      <c r="E5" s="28" t="s">
        <v>69</v>
      </c>
      <c r="F5" s="45" t="s">
        <v>11</v>
      </c>
      <c r="G5" s="45" t="s">
        <v>40</v>
      </c>
      <c r="H5" s="45"/>
      <c r="I5" s="45" t="s">
        <v>66</v>
      </c>
      <c r="J5" s="28" t="s">
        <v>67</v>
      </c>
      <c r="K5" s="50" t="s">
        <v>68</v>
      </c>
      <c r="L5" s="24" t="s">
        <v>69</v>
      </c>
      <c r="M5" s="33"/>
      <c r="N5" s="33"/>
      <c r="O5" s="143"/>
      <c r="P5" s="105"/>
      <c r="Q5" s="105"/>
      <c r="R5" s="105"/>
      <c r="S5" s="105"/>
      <c r="T5" s="105"/>
      <c r="U5" s="105"/>
      <c r="V5" s="105"/>
      <c r="W5" s="105"/>
      <c r="X5" s="105"/>
      <c r="Y5" s="104"/>
      <c r="Z5" s="116"/>
      <c r="AA5" s="117"/>
    </row>
    <row r="6" spans="1:34" ht="12.75">
      <c r="A6" s="189" t="s">
        <v>112</v>
      </c>
      <c r="B6" s="173">
        <v>3.9</v>
      </c>
      <c r="C6" s="173">
        <v>0.2</v>
      </c>
      <c r="D6" s="173">
        <v>1</v>
      </c>
      <c r="E6" s="169">
        <f aca="true" t="shared" si="0" ref="E6:E12">SUM(C6:D6)</f>
        <v>1.2</v>
      </c>
      <c r="F6" s="174">
        <f aca="true" t="shared" si="1" ref="F6:F18">IF(AND(E6&lt;$E$19,B6&lt;$B$19),100+133*($E$19-E6)/($E$19-$E$21)+67*($B$19-B6)/($B$19-$B$21),0)</f>
        <v>300</v>
      </c>
      <c r="G6" s="149">
        <f aca="true" t="shared" si="2" ref="G6:G18">RANK(F6,$F$6:$F$18)</f>
        <v>1</v>
      </c>
      <c r="H6" s="148"/>
      <c r="I6" s="155">
        <f aca="true" t="shared" si="3" ref="I6:I18">($B$19-B6)/$B$19</f>
        <v>0.9818941504178272</v>
      </c>
      <c r="J6" s="155">
        <f aca="true" t="shared" si="4" ref="J6:J18">($C$19-C6)/$C$19</f>
        <v>0.9968503937007873</v>
      </c>
      <c r="K6" s="155">
        <f aca="true" t="shared" si="5" ref="K6:K18">($D$19-D6)/$D$19</f>
        <v>0.5833333333333334</v>
      </c>
      <c r="L6" s="155">
        <f aca="true" t="shared" si="6" ref="L6:L18">($E$19-E6)/$E$19</f>
        <v>0.9817905918057662</v>
      </c>
      <c r="M6" s="33"/>
      <c r="N6" s="33"/>
      <c r="O6" s="150"/>
      <c r="P6" s="105"/>
      <c r="Q6" s="105"/>
      <c r="R6" s="105"/>
      <c r="S6" s="105"/>
      <c r="T6" s="105"/>
      <c r="U6" s="105"/>
      <c r="V6" s="105"/>
      <c r="W6" s="105"/>
      <c r="X6" s="105"/>
      <c r="Y6" s="104"/>
      <c r="Z6" s="116"/>
      <c r="AA6" s="117"/>
      <c r="AG6" s="37"/>
      <c r="AH6" s="37"/>
    </row>
    <row r="7" spans="1:34" ht="12.75">
      <c r="A7" s="189" t="s">
        <v>121</v>
      </c>
      <c r="B7" s="173">
        <v>13.8</v>
      </c>
      <c r="C7" s="173">
        <v>0.5</v>
      </c>
      <c r="D7" s="173">
        <v>0.7</v>
      </c>
      <c r="E7" s="169">
        <f t="shared" si="0"/>
        <v>1.2</v>
      </c>
      <c r="F7" s="174">
        <f t="shared" si="1"/>
        <v>296.86382978723407</v>
      </c>
      <c r="G7" s="149">
        <f t="shared" si="2"/>
        <v>2</v>
      </c>
      <c r="H7" s="148"/>
      <c r="I7" s="155">
        <f t="shared" si="3"/>
        <v>0.935933147632312</v>
      </c>
      <c r="J7" s="155">
        <f t="shared" si="4"/>
        <v>0.9921259842519685</v>
      </c>
      <c r="K7" s="155">
        <f t="shared" si="5"/>
        <v>0.7083333333333334</v>
      </c>
      <c r="L7" s="155">
        <f t="shared" si="6"/>
        <v>0.9817905918057662</v>
      </c>
      <c r="M7" s="33"/>
      <c r="N7" s="33"/>
      <c r="O7" s="143"/>
      <c r="P7" s="105"/>
      <c r="Q7" s="105"/>
      <c r="R7" s="105"/>
      <c r="S7" s="105"/>
      <c r="T7" s="105"/>
      <c r="U7" s="105"/>
      <c r="V7" s="105"/>
      <c r="W7" s="105"/>
      <c r="X7" s="105"/>
      <c r="Y7" s="104"/>
      <c r="Z7" s="116"/>
      <c r="AA7" s="117"/>
      <c r="AG7" s="37"/>
      <c r="AH7" s="37"/>
    </row>
    <row r="8" spans="1:34" ht="12.75">
      <c r="A8" t="s">
        <v>149</v>
      </c>
      <c r="B8" s="173">
        <v>99.4</v>
      </c>
      <c r="C8" s="173">
        <v>1.8</v>
      </c>
      <c r="D8" s="173">
        <v>2.9</v>
      </c>
      <c r="E8" s="169">
        <f t="shared" si="0"/>
        <v>4.7</v>
      </c>
      <c r="F8" s="174">
        <f t="shared" si="1"/>
        <v>262.55229994044157</v>
      </c>
      <c r="G8" s="149">
        <f t="shared" si="2"/>
        <v>4</v>
      </c>
      <c r="H8" s="148"/>
      <c r="I8" s="155">
        <f t="shared" si="3"/>
        <v>0.5385329619312906</v>
      </c>
      <c r="J8" s="155">
        <f t="shared" si="4"/>
        <v>0.9716535433070866</v>
      </c>
      <c r="K8" s="155">
        <f t="shared" si="5"/>
        <v>-0.20833333333333334</v>
      </c>
      <c r="L8" s="155">
        <f t="shared" si="6"/>
        <v>0.928679817905918</v>
      </c>
      <c r="M8" s="33"/>
      <c r="N8" s="33"/>
      <c r="O8" s="143"/>
      <c r="P8" s="105"/>
      <c r="Q8" s="105"/>
      <c r="R8" s="105"/>
      <c r="S8" s="105"/>
      <c r="T8" s="105"/>
      <c r="U8" s="105"/>
      <c r="V8" s="105"/>
      <c r="W8" s="105"/>
      <c r="X8" s="105"/>
      <c r="Y8" s="104"/>
      <c r="Z8" s="116"/>
      <c r="AA8" s="117"/>
      <c r="AG8" s="37"/>
      <c r="AH8" s="37"/>
    </row>
    <row r="9" spans="1:34" ht="12.75">
      <c r="A9" s="189" t="s">
        <v>113</v>
      </c>
      <c r="B9" s="173">
        <v>57.1</v>
      </c>
      <c r="C9" s="173">
        <v>1.8</v>
      </c>
      <c r="D9" s="173">
        <v>0.4</v>
      </c>
      <c r="E9" s="169">
        <f t="shared" si="0"/>
        <v>2.2</v>
      </c>
      <c r="F9" s="174">
        <f t="shared" si="1"/>
        <v>281.09140349531026</v>
      </c>
      <c r="G9" s="149">
        <f t="shared" si="2"/>
        <v>3</v>
      </c>
      <c r="H9" s="148"/>
      <c r="I9" s="155">
        <f t="shared" si="3"/>
        <v>0.7349117920148561</v>
      </c>
      <c r="J9" s="155">
        <f t="shared" si="4"/>
        <v>0.9716535433070866</v>
      </c>
      <c r="K9" s="155">
        <f t="shared" si="5"/>
        <v>0.8333333333333334</v>
      </c>
      <c r="L9" s="155">
        <f t="shared" si="6"/>
        <v>0.9666160849772382</v>
      </c>
      <c r="M9" s="33"/>
      <c r="N9" s="33"/>
      <c r="O9" s="143"/>
      <c r="P9" s="105"/>
      <c r="Q9" s="105"/>
      <c r="R9" s="105"/>
      <c r="S9" s="105"/>
      <c r="T9" s="105"/>
      <c r="U9" s="105"/>
      <c r="V9" s="105"/>
      <c r="W9" s="105"/>
      <c r="X9" s="105"/>
      <c r="Y9" s="104"/>
      <c r="Z9" s="116"/>
      <c r="AA9" s="117"/>
      <c r="AG9" s="37"/>
      <c r="AH9" s="37"/>
    </row>
    <row r="10" spans="1:34" ht="12.75">
      <c r="A10" s="189" t="s">
        <v>114</v>
      </c>
      <c r="B10" s="173">
        <v>131.1</v>
      </c>
      <c r="C10" s="173">
        <v>3.3</v>
      </c>
      <c r="D10" s="173">
        <v>9.8</v>
      </c>
      <c r="E10" s="169">
        <f t="shared" si="0"/>
        <v>13.100000000000001</v>
      </c>
      <c r="F10" s="174">
        <f t="shared" si="1"/>
        <v>235.24283161783245</v>
      </c>
      <c r="G10" s="149">
        <f t="shared" si="2"/>
        <v>5</v>
      </c>
      <c r="H10" s="148"/>
      <c r="I10" s="155">
        <f t="shared" si="3"/>
        <v>0.3913649025069638</v>
      </c>
      <c r="J10" s="155">
        <f t="shared" si="4"/>
        <v>0.9480314960629922</v>
      </c>
      <c r="K10" s="155">
        <f t="shared" si="5"/>
        <v>-3.0833333333333335</v>
      </c>
      <c r="L10" s="155">
        <f t="shared" si="6"/>
        <v>0.8012139605462822</v>
      </c>
      <c r="M10" s="33"/>
      <c r="N10" s="33"/>
      <c r="O10" s="150"/>
      <c r="P10" s="119"/>
      <c r="Q10" s="119"/>
      <c r="R10" s="119"/>
      <c r="S10" s="105"/>
      <c r="T10" s="105"/>
      <c r="U10" s="105"/>
      <c r="V10" s="105"/>
      <c r="W10" s="105"/>
      <c r="X10" s="105"/>
      <c r="Y10" s="104"/>
      <c r="Z10" s="116"/>
      <c r="AA10" s="117"/>
      <c r="AG10" s="37"/>
      <c r="AH10" s="37"/>
    </row>
    <row r="11" spans="1:34" ht="12.75">
      <c r="A11" s="189" t="s">
        <v>115</v>
      </c>
      <c r="B11" s="173">
        <v>138.7</v>
      </c>
      <c r="C11" s="173">
        <v>6.3</v>
      </c>
      <c r="D11" s="173">
        <v>6.1</v>
      </c>
      <c r="E11" s="169">
        <f t="shared" si="0"/>
        <v>12.399999999999999</v>
      </c>
      <c r="F11" s="174">
        <f t="shared" si="1"/>
        <v>234.27421560137535</v>
      </c>
      <c r="G11" s="149">
        <f t="shared" si="2"/>
        <v>6</v>
      </c>
      <c r="H11" s="148"/>
      <c r="I11" s="155">
        <f t="shared" si="3"/>
        <v>0.3560817084493965</v>
      </c>
      <c r="J11" s="155">
        <f t="shared" si="4"/>
        <v>0.9007874015748032</v>
      </c>
      <c r="K11" s="155">
        <f t="shared" si="5"/>
        <v>-1.5416666666666665</v>
      </c>
      <c r="L11" s="155">
        <f t="shared" si="6"/>
        <v>0.8118361153262519</v>
      </c>
      <c r="M11" s="33"/>
      <c r="N11" s="33"/>
      <c r="O11" s="150"/>
      <c r="P11" s="119"/>
      <c r="Q11" s="119"/>
      <c r="R11" s="119"/>
      <c r="S11" s="105"/>
      <c r="T11" s="105"/>
      <c r="U11" s="105"/>
      <c r="V11" s="105"/>
      <c r="W11" s="105"/>
      <c r="X11" s="105"/>
      <c r="Y11" s="104"/>
      <c r="Z11" s="116"/>
      <c r="AA11" s="117"/>
      <c r="AG11" s="37"/>
      <c r="AH11" s="37"/>
    </row>
    <row r="12" spans="1:34" ht="12.75">
      <c r="A12" s="189" t="s">
        <v>116</v>
      </c>
      <c r="B12" s="173">
        <v>424.6</v>
      </c>
      <c r="C12" s="173">
        <v>4.7</v>
      </c>
      <c r="D12" s="173">
        <v>0</v>
      </c>
      <c r="E12" s="169">
        <f t="shared" si="0"/>
        <v>4.7</v>
      </c>
      <c r="F12" s="174">
        <f t="shared" si="1"/>
        <v>0</v>
      </c>
      <c r="G12" s="149">
        <f t="shared" si="2"/>
        <v>8</v>
      </c>
      <c r="H12" s="148"/>
      <c r="I12" s="155">
        <f t="shared" si="3"/>
        <v>-0.9712163416898794</v>
      </c>
      <c r="J12" s="155">
        <f t="shared" si="4"/>
        <v>0.9259842519685039</v>
      </c>
      <c r="K12" s="155">
        <f t="shared" si="5"/>
        <v>1</v>
      </c>
      <c r="L12" s="155">
        <f t="shared" si="6"/>
        <v>0.928679817905918</v>
      </c>
      <c r="M12" s="33"/>
      <c r="N12" s="33"/>
      <c r="O12" s="150"/>
      <c r="P12" s="119"/>
      <c r="Q12" s="119"/>
      <c r="R12" s="119"/>
      <c r="S12" s="105"/>
      <c r="T12" s="105"/>
      <c r="U12" s="105"/>
      <c r="V12" s="105"/>
      <c r="W12" s="105"/>
      <c r="X12" s="105"/>
      <c r="Y12" s="104"/>
      <c r="Z12" s="116"/>
      <c r="AA12" s="117"/>
      <c r="AG12" s="37"/>
      <c r="AH12" s="37"/>
    </row>
    <row r="13" spans="1:34" ht="12.75">
      <c r="A13" s="189" t="s">
        <v>117</v>
      </c>
      <c r="B13" s="171">
        <v>205.5</v>
      </c>
      <c r="C13" s="171">
        <v>7.4</v>
      </c>
      <c r="D13" s="171">
        <v>0.6</v>
      </c>
      <c r="E13" s="169">
        <f>SUM(C13:D13)</f>
        <v>8</v>
      </c>
      <c r="F13" s="174">
        <f t="shared" si="1"/>
        <v>222.15780854352332</v>
      </c>
      <c r="G13" s="149">
        <f t="shared" si="2"/>
        <v>7</v>
      </c>
      <c r="H13" s="148"/>
      <c r="I13" s="155">
        <f t="shared" si="3"/>
        <v>0.04596100278551535</v>
      </c>
      <c r="J13" s="155">
        <f t="shared" si="4"/>
        <v>0.8834645669291339</v>
      </c>
      <c r="K13" s="155">
        <f t="shared" si="5"/>
        <v>0.75</v>
      </c>
      <c r="L13" s="155">
        <f t="shared" si="6"/>
        <v>0.8786039453717754</v>
      </c>
      <c r="M13" s="33"/>
      <c r="N13" s="33"/>
      <c r="O13" s="143"/>
      <c r="P13" s="105"/>
      <c r="Q13" s="105"/>
      <c r="R13" s="105"/>
      <c r="S13" s="105"/>
      <c r="T13" s="105"/>
      <c r="U13" s="105"/>
      <c r="V13" s="105"/>
      <c r="W13" s="105"/>
      <c r="X13" s="105"/>
      <c r="Y13" s="104"/>
      <c r="Z13" s="116"/>
      <c r="AA13" s="117"/>
      <c r="AG13" s="37"/>
      <c r="AH13" s="37"/>
    </row>
    <row r="14" spans="1:34" ht="12.75">
      <c r="A14" s="189" t="s">
        <v>122</v>
      </c>
      <c r="B14" s="200" t="s">
        <v>74</v>
      </c>
      <c r="C14" s="200" t="s">
        <v>74</v>
      </c>
      <c r="D14" s="200" t="s">
        <v>74</v>
      </c>
      <c r="E14" s="200" t="s">
        <v>74</v>
      </c>
      <c r="F14" s="174">
        <v>0</v>
      </c>
      <c r="G14" s="149">
        <f t="shared" si="2"/>
        <v>8</v>
      </c>
      <c r="H14" s="148"/>
      <c r="I14" s="155"/>
      <c r="J14" s="155"/>
      <c r="K14" s="155"/>
      <c r="L14" s="155"/>
      <c r="M14" s="33"/>
      <c r="N14" s="33"/>
      <c r="O14" s="143"/>
      <c r="P14" s="105"/>
      <c r="Q14" s="105"/>
      <c r="R14" s="105"/>
      <c r="S14" s="105"/>
      <c r="T14" s="105"/>
      <c r="U14" s="105"/>
      <c r="V14" s="105"/>
      <c r="W14" s="105"/>
      <c r="X14" s="105"/>
      <c r="Y14" s="104"/>
      <c r="Z14" s="116"/>
      <c r="AA14" s="117"/>
      <c r="AG14" s="37"/>
      <c r="AH14" s="37"/>
    </row>
    <row r="15" spans="1:34" ht="12.75">
      <c r="A15" s="189" t="s">
        <v>118</v>
      </c>
      <c r="B15" s="200" t="s">
        <v>74</v>
      </c>
      <c r="C15" s="200" t="s">
        <v>74</v>
      </c>
      <c r="D15" s="200" t="s">
        <v>74</v>
      </c>
      <c r="E15" s="200" t="s">
        <v>74</v>
      </c>
      <c r="F15" s="174">
        <v>0</v>
      </c>
      <c r="G15" s="149">
        <f t="shared" si="2"/>
        <v>8</v>
      </c>
      <c r="H15" s="148"/>
      <c r="I15" s="155"/>
      <c r="J15" s="155"/>
      <c r="K15" s="155"/>
      <c r="L15" s="155"/>
      <c r="M15" s="33"/>
      <c r="N15" s="33"/>
      <c r="O15" s="143"/>
      <c r="P15" s="105"/>
      <c r="Q15" s="105"/>
      <c r="R15" s="105"/>
      <c r="S15" s="105"/>
      <c r="T15" s="105"/>
      <c r="U15" s="105"/>
      <c r="V15" s="105"/>
      <c r="W15" s="105"/>
      <c r="X15" s="105"/>
      <c r="Y15" s="104"/>
      <c r="Z15" s="116"/>
      <c r="AA15" s="117"/>
      <c r="AG15" s="37"/>
      <c r="AH15" s="37"/>
    </row>
    <row r="16" spans="1:34" ht="12.75">
      <c r="A16" s="189" t="s">
        <v>111</v>
      </c>
      <c r="B16" s="200" t="s">
        <v>74</v>
      </c>
      <c r="C16" s="200" t="s">
        <v>74</v>
      </c>
      <c r="D16" s="200" t="s">
        <v>74</v>
      </c>
      <c r="E16" s="200" t="s">
        <v>74</v>
      </c>
      <c r="F16" s="174">
        <v>0</v>
      </c>
      <c r="G16" s="149">
        <f t="shared" si="2"/>
        <v>8</v>
      </c>
      <c r="H16" s="148"/>
      <c r="I16" s="155"/>
      <c r="J16" s="155"/>
      <c r="K16" s="155"/>
      <c r="L16" s="155"/>
      <c r="M16" s="33"/>
      <c r="N16" s="33"/>
      <c r="O16" s="143"/>
      <c r="P16" s="105"/>
      <c r="Q16" s="105"/>
      <c r="R16" s="105"/>
      <c r="S16" s="105"/>
      <c r="T16" s="105"/>
      <c r="U16" s="105"/>
      <c r="V16" s="105"/>
      <c r="W16" s="105"/>
      <c r="X16" s="105"/>
      <c r="Y16" s="104"/>
      <c r="Z16" s="116"/>
      <c r="AA16" s="117"/>
      <c r="AG16" s="37"/>
      <c r="AH16" s="37"/>
    </row>
    <row r="17" spans="1:34" ht="12.75">
      <c r="A17" s="189" t="s">
        <v>119</v>
      </c>
      <c r="B17" s="200" t="s">
        <v>74</v>
      </c>
      <c r="C17" s="200" t="s">
        <v>74</v>
      </c>
      <c r="D17" s="200" t="s">
        <v>74</v>
      </c>
      <c r="E17" s="200" t="s">
        <v>74</v>
      </c>
      <c r="F17" s="174">
        <v>0</v>
      </c>
      <c r="G17" s="149">
        <f t="shared" si="2"/>
        <v>8</v>
      </c>
      <c r="H17" s="148"/>
      <c r="I17" s="155"/>
      <c r="J17" s="155"/>
      <c r="K17" s="155"/>
      <c r="L17" s="155"/>
      <c r="M17" s="33"/>
      <c r="N17" s="33"/>
      <c r="O17" s="143"/>
      <c r="P17" s="105"/>
      <c r="Q17" s="105"/>
      <c r="R17" s="105"/>
      <c r="S17" s="105"/>
      <c r="T17" s="105"/>
      <c r="U17" s="105"/>
      <c r="V17" s="105"/>
      <c r="W17" s="105"/>
      <c r="X17" s="105"/>
      <c r="Y17" s="104"/>
      <c r="Z17" s="116"/>
      <c r="AA17" s="117"/>
      <c r="AG17" s="37"/>
      <c r="AH17" s="37"/>
    </row>
    <row r="18" spans="1:34" ht="12.75">
      <c r="A18" s="189" t="s">
        <v>120</v>
      </c>
      <c r="B18" s="200" t="s">
        <v>74</v>
      </c>
      <c r="C18" s="200" t="s">
        <v>74</v>
      </c>
      <c r="D18" s="200" t="s">
        <v>74</v>
      </c>
      <c r="E18" s="200" t="s">
        <v>74</v>
      </c>
      <c r="F18" s="174">
        <v>0</v>
      </c>
      <c r="G18" s="149">
        <f t="shared" si="2"/>
        <v>8</v>
      </c>
      <c r="H18" s="148"/>
      <c r="I18" s="155"/>
      <c r="J18" s="155"/>
      <c r="K18" s="155"/>
      <c r="L18" s="155"/>
      <c r="M18" s="33"/>
      <c r="N18" s="33"/>
      <c r="O18" s="143"/>
      <c r="P18" s="105"/>
      <c r="Q18" s="105"/>
      <c r="R18" s="105"/>
      <c r="S18" s="105"/>
      <c r="T18" s="105"/>
      <c r="U18" s="105"/>
      <c r="V18" s="105"/>
      <c r="W18" s="105"/>
      <c r="X18" s="105"/>
      <c r="Y18" s="104"/>
      <c r="Z18" s="116"/>
      <c r="AA18" s="117"/>
      <c r="AG18" s="37"/>
      <c r="AH18" s="37"/>
    </row>
    <row r="19" spans="1:34" ht="12.75">
      <c r="A19" s="29" t="s">
        <v>187</v>
      </c>
      <c r="B19" s="170">
        <v>215.4</v>
      </c>
      <c r="C19" s="170">
        <v>63.5</v>
      </c>
      <c r="D19" s="170">
        <v>2.4</v>
      </c>
      <c r="E19" s="169">
        <f>SUM(C19:D19)</f>
        <v>65.9</v>
      </c>
      <c r="F19" s="151"/>
      <c r="G19" s="151"/>
      <c r="H19" s="151"/>
      <c r="I19" s="148"/>
      <c r="J19" s="151"/>
      <c r="K19" s="46"/>
      <c r="L19" s="46"/>
      <c r="M19" s="46"/>
      <c r="N19" s="46"/>
      <c r="O19" s="152"/>
      <c r="P19" s="121"/>
      <c r="Q19" s="121"/>
      <c r="R19" s="122"/>
      <c r="S19" s="122"/>
      <c r="T19" s="122"/>
      <c r="U19" s="122"/>
      <c r="V19" s="122"/>
      <c r="W19" s="122"/>
      <c r="X19" s="122"/>
      <c r="Y19" s="123"/>
      <c r="Z19" s="124"/>
      <c r="AA19" s="125"/>
      <c r="AB19" s="56"/>
      <c r="AC19" s="38"/>
      <c r="AD19" s="38"/>
      <c r="AE19" s="38"/>
      <c r="AF19" s="38"/>
      <c r="AG19" s="37"/>
      <c r="AH19" s="37"/>
    </row>
    <row r="20" spans="1:34" ht="12.75">
      <c r="A20" s="29"/>
      <c r="B20" s="103"/>
      <c r="C20" s="147"/>
      <c r="D20" s="46"/>
      <c r="E20" s="46"/>
      <c r="F20" s="153"/>
      <c r="G20" s="153"/>
      <c r="H20" s="153"/>
      <c r="I20" s="153"/>
      <c r="J20" s="153"/>
      <c r="K20" s="46"/>
      <c r="L20" s="46"/>
      <c r="M20" s="46"/>
      <c r="N20" s="46"/>
      <c r="O20" s="152"/>
      <c r="P20" s="121"/>
      <c r="Q20" s="121"/>
      <c r="R20" s="122"/>
      <c r="S20" s="122"/>
      <c r="T20" s="122"/>
      <c r="U20" s="122"/>
      <c r="V20" s="122"/>
      <c r="W20" s="122"/>
      <c r="X20" s="122"/>
      <c r="Y20" s="123"/>
      <c r="Z20" s="124"/>
      <c r="AA20" s="125"/>
      <c r="AB20" s="56"/>
      <c r="AC20" s="38"/>
      <c r="AD20" s="38"/>
      <c r="AE20" s="38"/>
      <c r="AF20" s="38"/>
      <c r="AG20" s="37"/>
      <c r="AH20" s="37"/>
    </row>
    <row r="21" spans="1:34" ht="12.75">
      <c r="A21" s="31" t="s">
        <v>71</v>
      </c>
      <c r="B21" s="172">
        <f>MIN(B6:B18)</f>
        <v>3.9</v>
      </c>
      <c r="C21" s="147"/>
      <c r="D21" s="154" t="s">
        <v>72</v>
      </c>
      <c r="E21" s="172">
        <f>MIN(E6:E18)</f>
        <v>1.2</v>
      </c>
      <c r="F21" s="29"/>
      <c r="G21" s="29"/>
      <c r="H21" s="29"/>
      <c r="I21" s="29"/>
      <c r="J21" s="29"/>
      <c r="K21" s="46"/>
      <c r="L21" s="46"/>
      <c r="M21" s="46"/>
      <c r="N21" s="46"/>
      <c r="O21" s="152"/>
      <c r="P21" s="121"/>
      <c r="Q21" s="121"/>
      <c r="R21" s="121"/>
      <c r="S21" s="121"/>
      <c r="T21" s="121"/>
      <c r="U21" s="121"/>
      <c r="V21" s="121"/>
      <c r="W21" s="121"/>
      <c r="X21" s="121"/>
      <c r="Y21" s="126"/>
      <c r="Z21" s="134"/>
      <c r="AA21" s="135"/>
      <c r="AB21" s="56"/>
      <c r="AC21" s="38"/>
      <c r="AD21" s="38"/>
      <c r="AE21" s="38"/>
      <c r="AF21" s="38"/>
      <c r="AG21" s="37"/>
      <c r="AH21" s="37"/>
    </row>
    <row r="22" spans="1:34" ht="12.75">
      <c r="A22" s="113"/>
      <c r="B22" s="114"/>
      <c r="C22" s="114"/>
      <c r="D22" s="114"/>
      <c r="E22" s="114"/>
      <c r="F22" s="114"/>
      <c r="G22" s="114"/>
      <c r="H22" s="114"/>
      <c r="I22" s="127"/>
      <c r="J22" s="127"/>
      <c r="K22" s="127"/>
      <c r="L22" s="127"/>
      <c r="M22" s="127"/>
      <c r="N22" s="10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36"/>
      <c r="Z22" s="134"/>
      <c r="AA22" s="137"/>
      <c r="AB22" s="56"/>
      <c r="AC22" s="38"/>
      <c r="AD22" s="38"/>
      <c r="AE22" s="38"/>
      <c r="AF22" s="38"/>
      <c r="AG22" s="37"/>
      <c r="AH22" s="37"/>
    </row>
    <row r="23" spans="1:34" ht="12.75">
      <c r="A23" s="110"/>
      <c r="B23" s="195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8"/>
      <c r="N23" s="11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29"/>
      <c r="Z23" s="135"/>
      <c r="AA23" s="139"/>
      <c r="AB23" s="56"/>
      <c r="AC23" s="38"/>
      <c r="AD23" s="38"/>
      <c r="AE23" s="38"/>
      <c r="AF23" s="38"/>
      <c r="AG23" s="37"/>
      <c r="AH23" s="37"/>
    </row>
    <row r="24" spans="1:34" ht="12.75">
      <c r="A24" s="11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8"/>
      <c r="N24" s="11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29"/>
      <c r="Z24" s="135"/>
      <c r="AA24" s="139"/>
      <c r="AB24" s="56"/>
      <c r="AC24" s="38"/>
      <c r="AD24" s="38"/>
      <c r="AE24" s="38"/>
      <c r="AF24" s="38"/>
      <c r="AG24" s="37"/>
      <c r="AH24" s="37"/>
    </row>
    <row r="25" spans="1:27" ht="12.75">
      <c r="A25" s="11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8"/>
      <c r="N25" s="11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29"/>
      <c r="Z25" s="140"/>
      <c r="AA25" s="139"/>
    </row>
    <row r="26" spans="1:27" ht="12.75">
      <c r="A26" s="11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8"/>
      <c r="N26" s="11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29"/>
      <c r="Z26" s="140"/>
      <c r="AA26" s="139"/>
    </row>
    <row r="27" spans="1:27" ht="12.75">
      <c r="A27" s="110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28"/>
      <c r="N27" s="118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29"/>
      <c r="Z27" s="140"/>
      <c r="AA27" s="139"/>
    </row>
    <row r="28" spans="1:27" ht="12.75">
      <c r="A28" s="11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8"/>
      <c r="N28" s="11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29"/>
      <c r="Z28" s="140"/>
      <c r="AA28" s="139"/>
    </row>
    <row r="29" spans="1:27" ht="12.75">
      <c r="A29" s="11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8"/>
      <c r="N29" s="11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29"/>
      <c r="Z29" s="140"/>
      <c r="AA29" s="139"/>
    </row>
    <row r="30" spans="1:27" ht="12.75">
      <c r="A30" s="110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28"/>
      <c r="N30" s="118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29"/>
      <c r="Z30" s="140"/>
      <c r="AA30" s="139"/>
    </row>
    <row r="31" spans="1:27" ht="12.75">
      <c r="A31" s="110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28"/>
      <c r="N31" s="118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29"/>
      <c r="Z31" s="140"/>
      <c r="AA31" s="139"/>
    </row>
    <row r="32" spans="1:27" ht="12.75">
      <c r="A32" s="11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8"/>
      <c r="N32" s="11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29"/>
      <c r="Z32" s="140"/>
      <c r="AA32" s="139"/>
    </row>
    <row r="33" spans="1:27" ht="12.75">
      <c r="A33" s="11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8"/>
      <c r="N33" s="11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29"/>
      <c r="Z33" s="140"/>
      <c r="AA33" s="139"/>
    </row>
    <row r="34" spans="1:27" ht="12.75">
      <c r="A34" s="110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28"/>
      <c r="N34" s="118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29"/>
      <c r="Z34" s="140"/>
      <c r="AA34" s="139"/>
    </row>
    <row r="35" spans="1:27" ht="12.75">
      <c r="A35" s="110"/>
      <c r="B35" s="141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8"/>
      <c r="N35" s="11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29"/>
      <c r="Z35" s="140"/>
      <c r="AA35" s="139"/>
    </row>
    <row r="36" spans="1:27" ht="12.75">
      <c r="A36" s="11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9"/>
      <c r="N36" s="11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29"/>
      <c r="Z36" s="140"/>
      <c r="AA36" s="109"/>
    </row>
    <row r="37" spans="1:27" ht="12.75">
      <c r="A37" s="110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28"/>
      <c r="N37" s="118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29"/>
      <c r="Z37" s="140"/>
      <c r="AA37" s="139"/>
    </row>
    <row r="38" spans="1:27" ht="12.75">
      <c r="A38" s="110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8"/>
      <c r="N38" s="11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29"/>
      <c r="Z38" s="140"/>
      <c r="AA38" s="139"/>
    </row>
    <row r="39" spans="1:27" ht="12.75">
      <c r="A39" s="104"/>
      <c r="B39" s="120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28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29"/>
      <c r="Z39" s="140"/>
      <c r="AA39" s="139"/>
    </row>
    <row r="40" spans="1:27" ht="12.75">
      <c r="A40" s="104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40"/>
      <c r="AA40" s="109"/>
    </row>
    <row r="41" spans="1:27" ht="12.75">
      <c r="A41" s="104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40"/>
      <c r="AA41" s="109"/>
    </row>
    <row r="42" spans="1:27" ht="12.75">
      <c r="A42" s="131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1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40"/>
      <c r="AA42" s="109"/>
    </row>
    <row r="43" spans="1:27" ht="12.75">
      <c r="A43" s="110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28"/>
      <c r="N43" s="118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29"/>
      <c r="Z43" s="140"/>
      <c r="AA43" s="139"/>
    </row>
    <row r="44" spans="1:27" ht="12.75">
      <c r="A44" s="110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28"/>
      <c r="N44" s="118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29"/>
      <c r="Z44" s="140"/>
      <c r="AA44" s="139"/>
    </row>
    <row r="45" spans="1:27" ht="12.75">
      <c r="A45" s="110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28"/>
      <c r="N45" s="118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29"/>
      <c r="Z45" s="140"/>
      <c r="AA45" s="139"/>
    </row>
    <row r="46" spans="1:27" ht="12.75">
      <c r="A46" s="110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28"/>
      <c r="N46" s="118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29"/>
      <c r="Z46" s="140"/>
      <c r="AA46" s="139"/>
    </row>
    <row r="47" spans="1:27" ht="12.75">
      <c r="A47" s="110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28"/>
      <c r="N47" s="118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29"/>
      <c r="Z47" s="140"/>
      <c r="AA47" s="139"/>
    </row>
    <row r="48" spans="1:27" ht="12.75">
      <c r="A48" s="110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28"/>
      <c r="N48" s="118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29"/>
      <c r="Z48" s="140"/>
      <c r="AA48" s="139"/>
    </row>
    <row r="49" spans="1:27" ht="12.75">
      <c r="A49" s="110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28"/>
      <c r="N49" s="118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29"/>
      <c r="Z49" s="140"/>
      <c r="AA49" s="139"/>
    </row>
    <row r="50" spans="1:27" ht="12.75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28"/>
      <c r="N50" s="118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29"/>
      <c r="Z50" s="140"/>
      <c r="AA50" s="139"/>
    </row>
    <row r="51" spans="1:27" ht="12.75">
      <c r="A51" s="110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28"/>
      <c r="N51" s="118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29"/>
      <c r="Z51" s="140"/>
      <c r="AA51" s="139"/>
    </row>
    <row r="52" spans="1:27" ht="12.75">
      <c r="A52" s="110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28"/>
      <c r="N52" s="118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29"/>
      <c r="Z52" s="140"/>
      <c r="AA52" s="139"/>
    </row>
    <row r="53" spans="1:27" ht="12.75">
      <c r="A53" s="110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28"/>
      <c r="N53" s="118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29"/>
      <c r="Z53" s="140"/>
      <c r="AA53" s="139"/>
    </row>
    <row r="54" spans="1:27" ht="12.75">
      <c r="A54" s="110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28"/>
      <c r="N54" s="118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29"/>
      <c r="Z54" s="140"/>
      <c r="AA54" s="139"/>
    </row>
    <row r="55" spans="1:27" ht="12.75">
      <c r="A55" s="110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28"/>
      <c r="N55" s="118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29"/>
      <c r="Z55" s="140"/>
      <c r="AA55" s="139"/>
    </row>
    <row r="56" spans="1:27" ht="12.75">
      <c r="A56" s="110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9"/>
      <c r="N56" s="118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9"/>
      <c r="Z56" s="140"/>
      <c r="AA56" s="109"/>
    </row>
    <row r="57" spans="1:27" ht="12.75">
      <c r="A57" s="110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28"/>
      <c r="N57" s="118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29"/>
      <c r="Z57" s="140"/>
      <c r="AA57" s="139"/>
    </row>
    <row r="58" spans="1:27" ht="12.75">
      <c r="A58" s="110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28"/>
      <c r="N58" s="118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29"/>
      <c r="Z58" s="140"/>
      <c r="AA58" s="139"/>
    </row>
    <row r="59" spans="1:27" ht="12.75">
      <c r="A59" s="116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32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33"/>
      <c r="Z59" s="140"/>
      <c r="AA59" s="109"/>
    </row>
    <row r="60" spans="1:27" ht="12.75">
      <c r="A60" s="116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09"/>
    </row>
    <row r="61" spans="1:27" ht="12.75">
      <c r="A61" s="116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40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</row>
    <row r="62" spans="1:27" ht="12.75">
      <c r="A62" s="116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30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</row>
    <row r="63" spans="1:27" ht="12.75">
      <c r="A63" s="116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30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</row>
    <row r="64" spans="1:27" ht="12.75">
      <c r="A64" s="116"/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30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</row>
    <row r="65" spans="1:27" ht="12.75">
      <c r="A65" s="116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30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</row>
    <row r="66" spans="1:27" ht="12.75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7"/>
      <c r="L66" s="117"/>
      <c r="M66" s="130"/>
      <c r="N66" s="117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6"/>
      <c r="Z66" s="116"/>
      <c r="AA66" s="117"/>
    </row>
    <row r="67" spans="1:27" ht="12.75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7"/>
      <c r="L67" s="117"/>
      <c r="M67" s="130"/>
      <c r="N67" s="117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6"/>
      <c r="Z67" s="116"/>
      <c r="AA67" s="117"/>
    </row>
    <row r="68" ht="12.75">
      <c r="M68" s="48"/>
    </row>
    <row r="69" ht="12.75">
      <c r="M69" s="48"/>
    </row>
    <row r="70" ht="12.75">
      <c r="M70" s="48"/>
    </row>
    <row r="71" ht="12.75">
      <c r="M71" s="48"/>
    </row>
    <row r="72" ht="12.75">
      <c r="M72" s="48"/>
    </row>
    <row r="73" ht="12.75">
      <c r="M73" s="48"/>
    </row>
    <row r="74" ht="12.75">
      <c r="M74" s="48"/>
    </row>
    <row r="75" ht="12.75">
      <c r="M75" s="48"/>
    </row>
    <row r="76" ht="12.75">
      <c r="M76" s="48"/>
    </row>
    <row r="77" ht="12.75">
      <c r="M77" s="48"/>
    </row>
    <row r="78" ht="12.75">
      <c r="M78" s="48"/>
    </row>
    <row r="79" ht="12.75">
      <c r="M79" s="48"/>
    </row>
    <row r="80" ht="12.75">
      <c r="M80" s="48"/>
    </row>
    <row r="81" ht="12.75">
      <c r="M81" s="48"/>
    </row>
    <row r="82" ht="12.75">
      <c r="M82" s="48"/>
    </row>
    <row r="83" ht="12.75">
      <c r="M83" s="48"/>
    </row>
    <row r="84" ht="12.75">
      <c r="M84" s="48"/>
    </row>
    <row r="85" ht="12.75">
      <c r="M85" s="48"/>
    </row>
    <row r="86" ht="12.75">
      <c r="M86" s="48"/>
    </row>
    <row r="87" ht="12.75">
      <c r="M87" s="48"/>
    </row>
    <row r="88" ht="12.75">
      <c r="M88" s="48"/>
    </row>
    <row r="89" ht="12.75">
      <c r="M89" s="48"/>
    </row>
    <row r="90" ht="12.75">
      <c r="M90" s="48"/>
    </row>
    <row r="91" ht="12.75">
      <c r="M91" s="48"/>
    </row>
    <row r="92" ht="12.75">
      <c r="M92" s="48"/>
    </row>
    <row r="93" ht="12.75">
      <c r="M93" s="48"/>
    </row>
    <row r="94" ht="12.75">
      <c r="M94" s="48"/>
    </row>
    <row r="95" ht="12.75">
      <c r="M95" s="48"/>
    </row>
    <row r="96" ht="12.75">
      <c r="M96" s="48"/>
    </row>
    <row r="97" ht="12.75">
      <c r="M97" s="48"/>
    </row>
    <row r="98" ht="12.75">
      <c r="M98" s="48"/>
    </row>
    <row r="99" ht="12.75">
      <c r="M99" s="48"/>
    </row>
    <row r="100" ht="12.75">
      <c r="M100" s="48"/>
    </row>
    <row r="101" ht="12.75">
      <c r="M101" s="48"/>
    </row>
  </sheetData>
  <printOptions/>
  <pageMargins left="0.25" right="0.25" top="1" bottom="1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 M Fussell</dc:creator>
  <cp:keywords/>
  <dc:description/>
  <cp:lastModifiedBy>jmeldrum</cp:lastModifiedBy>
  <cp:lastPrinted>2005-03-19T21:20:40Z</cp:lastPrinted>
  <dcterms:created xsi:type="dcterms:W3CDTF">2000-03-12T02:15:03Z</dcterms:created>
  <dcterms:modified xsi:type="dcterms:W3CDTF">2005-03-19T21:20:55Z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-1739402347</vt:i4>
  </property>
  <property fmtid="{D5CDD505-2E9C-101B-9397-08002B2CF9AE}" pid="3" name="_EmailSubject">
    <vt:lpwstr>CSC Results</vt:lpwstr>
  </property>
  <property fmtid="{D5CDD505-2E9C-101B-9397-08002B2CF9AE}" pid="4" name="_AuthorEmailDisplayName">
    <vt:lpwstr>Jay Meldrum</vt:lpwstr>
  </property>
  <property fmtid="{D5CDD505-2E9C-101B-9397-08002B2CF9AE}" pid="5" name="_AuthorEmail">
    <vt:lpwstr>jmeldrum@mtu.edu</vt:lpwstr>
  </property>
  <property fmtid="{D5CDD505-2E9C-101B-9397-08002B2CF9AE}" pid="6" name="_PreviousAdHocReviewCycleID">
    <vt:i4>-1649670314</vt:i4>
  </property>
</Properties>
</file>