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0850" windowHeight="6450" tabRatio="920" firstSheet="6" activeTab="14"/>
  </bookViews>
  <sheets>
    <sheet name="Paper" sheetId="1" r:id="rId1"/>
    <sheet name="Static" sheetId="2" r:id="rId2"/>
    <sheet name="Cost" sheetId="3" r:id="rId3"/>
    <sheet name="Fuel Economy " sheetId="4" r:id="rId4"/>
    <sheet name="Oral" sheetId="5" r:id="rId5"/>
    <sheet name="Noise" sheetId="6" r:id="rId6"/>
    <sheet name="Acceleration" sheetId="7" r:id="rId7"/>
    <sheet name="Shock Input_Rider Comfort" sheetId="8" r:id="rId8"/>
    <sheet name="Emissions" sheetId="9" r:id="rId9"/>
    <sheet name="Cold Start" sheetId="10" r:id="rId10"/>
    <sheet name="Subjective Handling" sheetId="11" r:id="rId11"/>
    <sheet name="Objective Handling" sheetId="12" r:id="rId12"/>
    <sheet name="Penalties" sheetId="13" r:id="rId13"/>
    <sheet name="Totals and Awards" sheetId="14" r:id="rId14"/>
    <sheet name="Vehicle Weights" sheetId="15" r:id="rId15"/>
  </sheets>
  <definedNames>
    <definedName name="_xlnm.Print_Area" localSheetId="2">'Cost'!$A$1:$D$33</definedName>
    <definedName name="_xlnm.Print_Area" localSheetId="8">'Emissions'!$A$1:$L$19</definedName>
    <definedName name="_xlnm.Print_Area" localSheetId="12">'Penalties'!$A$1:$I$30</definedName>
    <definedName name="_xlnm.Print_Area" localSheetId="13">'Totals and Awards'!$A$1:$N$56</definedName>
  </definedNames>
  <calcPr fullCalcOnLoad="1"/>
</workbook>
</file>

<file path=xl/sharedStrings.xml><?xml version="1.0" encoding="utf-8"?>
<sst xmlns="http://schemas.openxmlformats.org/spreadsheetml/2006/main" count="554" uniqueCount="247">
  <si>
    <t xml:space="preserve">Gmax = </t>
  </si>
  <si>
    <t>Gmin =</t>
  </si>
  <si>
    <t>Penalties</t>
  </si>
  <si>
    <t>Emissions</t>
  </si>
  <si>
    <t>Handling</t>
  </si>
  <si>
    <t>Oral</t>
  </si>
  <si>
    <t>Static</t>
  </si>
  <si>
    <t>Paper</t>
  </si>
  <si>
    <t>Late Paper</t>
  </si>
  <si>
    <t>Late Snowmobile</t>
  </si>
  <si>
    <t>Safety Violation</t>
  </si>
  <si>
    <t>POINTS</t>
  </si>
  <si>
    <t>Fuel Economy (MPG)</t>
  </si>
  <si>
    <t>gallons</t>
  </si>
  <si>
    <t>miles</t>
  </si>
  <si>
    <t>Distance=</t>
  </si>
  <si>
    <t>SCORE</t>
  </si>
  <si>
    <t>Tmin=</t>
  </si>
  <si>
    <t>sec</t>
  </si>
  <si>
    <t>Result (PASS/FAIL)</t>
  </si>
  <si>
    <t>Performance</t>
  </si>
  <si>
    <t>Best</t>
  </si>
  <si>
    <t>Points</t>
  </si>
  <si>
    <t>Design</t>
  </si>
  <si>
    <t>Most</t>
  </si>
  <si>
    <t>Practical</t>
  </si>
  <si>
    <t>Value</t>
  </si>
  <si>
    <t>TOTAL</t>
  </si>
  <si>
    <t>RANK</t>
  </si>
  <si>
    <t>FINAL</t>
  </si>
  <si>
    <t>Best Performance Winner</t>
  </si>
  <si>
    <t>Best Emissions Winner</t>
  </si>
  <si>
    <t>Best Design Winner</t>
  </si>
  <si>
    <t>Best Fuel Economy Winner</t>
  </si>
  <si>
    <t>Quietest Snowmobile Winner</t>
  </si>
  <si>
    <t>Most Practical Winner</t>
  </si>
  <si>
    <t>Best Value Winner</t>
  </si>
  <si>
    <t>Ordinal</t>
  </si>
  <si>
    <t>Most Sportsmanlike Winner</t>
  </si>
  <si>
    <t>Cost</t>
  </si>
  <si>
    <t>Total Cost</t>
  </si>
  <si>
    <t>(Max gallons used of finishing teams)</t>
  </si>
  <si>
    <t>(Min gallons used of finishing teams)</t>
  </si>
  <si>
    <t>(Course distance)</t>
  </si>
  <si>
    <t>Run1 Time (s)</t>
  </si>
  <si>
    <t>Run2 Time (s)</t>
  </si>
  <si>
    <t>Run1 Lap Time (s)</t>
  </si>
  <si>
    <t>Run2 Lap Time (s)</t>
  </si>
  <si>
    <t>Minimum Lap Time (s)</t>
  </si>
  <si>
    <t>Tmax =</t>
  </si>
  <si>
    <t>Tmin =</t>
  </si>
  <si>
    <t>Noise</t>
  </si>
  <si>
    <t>Acceleration</t>
  </si>
  <si>
    <t>Second Place Winner Overall</t>
  </si>
  <si>
    <t>First Place Winner Overall</t>
  </si>
  <si>
    <t>TITCmax=</t>
  </si>
  <si>
    <t>TITCmin=</t>
  </si>
  <si>
    <t>FINAL COMPOSITE EMISSIONS (g/kW-hr)</t>
  </si>
  <si>
    <t>CO</t>
  </si>
  <si>
    <t>UHC</t>
  </si>
  <si>
    <t>NOx</t>
  </si>
  <si>
    <t>UHC+NOx</t>
  </si>
  <si>
    <t>COmin=</t>
  </si>
  <si>
    <t>UHC+NOXmin=</t>
  </si>
  <si>
    <t>Best Time (s)</t>
  </si>
  <si>
    <t>Fuel Type</t>
  </si>
  <si>
    <t>Late Oral</t>
  </si>
  <si>
    <t>Best Acceleration</t>
  </si>
  <si>
    <t>Best Handling</t>
  </si>
  <si>
    <t>Fourth Place Winner Overall</t>
  </si>
  <si>
    <t>Fifth Place Winner Overall</t>
  </si>
  <si>
    <t>Fuel</t>
  </si>
  <si>
    <t>Economy</t>
  </si>
  <si>
    <t>Cold</t>
  </si>
  <si>
    <t>Start</t>
  </si>
  <si>
    <t>E10</t>
  </si>
  <si>
    <t>E85</t>
  </si>
  <si>
    <t xml:space="preserve"> </t>
  </si>
  <si>
    <t>Don
Elzinga</t>
  </si>
  <si>
    <t>Peter
Jensen</t>
  </si>
  <si>
    <t>Tracy
Dahl</t>
  </si>
  <si>
    <t>Count</t>
  </si>
  <si>
    <t>Agreed to judge</t>
  </si>
  <si>
    <t>Judge</t>
  </si>
  <si>
    <t>Leon
LaVigne</t>
  </si>
  <si>
    <t>Max</t>
  </si>
  <si>
    <t>Min</t>
  </si>
  <si>
    <t>Shock Input</t>
  </si>
  <si>
    <t>Objective</t>
  </si>
  <si>
    <t>Display</t>
  </si>
  <si>
    <t>Subjective</t>
  </si>
  <si>
    <t>Ride</t>
  </si>
  <si>
    <t>Late TICA</t>
  </si>
  <si>
    <t>Final Score</t>
  </si>
  <si>
    <t>Time</t>
  </si>
  <si>
    <t>Rider Comfort</t>
  </si>
  <si>
    <t xml:space="preserve">     </t>
  </si>
  <si>
    <t>Dan Nehmar</t>
  </si>
  <si>
    <t>Bill
Schumman</t>
  </si>
  <si>
    <t>Peter Jensen</t>
  </si>
  <si>
    <t>Joe Wegleitner</t>
  </si>
  <si>
    <t>Don Elzinga, Jr.</t>
  </si>
  <si>
    <t>Brian Zengler</t>
  </si>
  <si>
    <t>Dan Nehmer</t>
  </si>
  <si>
    <t>Jeff Gillen</t>
  </si>
  <si>
    <t>Best Ride Winner</t>
  </si>
  <si>
    <t>Minutes</t>
  </si>
  <si>
    <t>Control Sled for comparison only</t>
  </si>
  <si>
    <t xml:space="preserve">Inspection </t>
  </si>
  <si>
    <t>Bonus</t>
  </si>
  <si>
    <t>#1 SUNY-Buffalo</t>
  </si>
  <si>
    <t>#2 Clarkson University</t>
  </si>
  <si>
    <t>#3 University of Wisconsin-Madison</t>
  </si>
  <si>
    <t>#4 University of Maine</t>
  </si>
  <si>
    <t>#5 Kettering University</t>
  </si>
  <si>
    <t>#6 Michigan Tech Univ</t>
  </si>
  <si>
    <t>#7 University of Wisconsin-Platteville</t>
  </si>
  <si>
    <t>#8 Minnesota State University - Mankato</t>
  </si>
  <si>
    <t>#9 University of Idaho</t>
  </si>
  <si>
    <t>#11 University of New Hampshire</t>
  </si>
  <si>
    <t>#13 University of Minnesota-Duluth</t>
  </si>
  <si>
    <t>#15 Ecole De Technologie Superieure</t>
  </si>
  <si>
    <t>#16 University of Waterloo</t>
  </si>
  <si>
    <t>SAE CSC2006 Final Score</t>
  </si>
  <si>
    <t>SAE CSC2006 Engineering Design Paper Results</t>
  </si>
  <si>
    <t>SAE CSC2006 Static Display Results</t>
  </si>
  <si>
    <t>SAE CSC2006 Technology Implementation Cost Assessment Results</t>
  </si>
  <si>
    <t>SAE CSC2006 Fuel Economy/Endurance Results</t>
  </si>
  <si>
    <t>SAE CSC2006 Oral Presentation Results</t>
  </si>
  <si>
    <t>SAE CSC 2006 Noise Testing</t>
  </si>
  <si>
    <t>SAE CSC2006 Acceleration Results</t>
  </si>
  <si>
    <t>SAE CSC2006 Shock Input/Rider Comfort Results</t>
  </si>
  <si>
    <t>SAE CSC2006 Emission Testing Results</t>
  </si>
  <si>
    <t>SAE CSC2006 Cold Start Results</t>
  </si>
  <si>
    <t>SAE CSC2006 Subjective Ride Results</t>
  </si>
  <si>
    <t>SAE CSC2006 Objective Handling/Driveability Event Results</t>
  </si>
  <si>
    <t>SAE CSC2006 Penalties</t>
  </si>
  <si>
    <t>Allemang</t>
  </si>
  <si>
    <t>Block</t>
  </si>
  <si>
    <t>Cass</t>
  </si>
  <si>
    <t>Dahl</t>
  </si>
  <si>
    <t>Davenport</t>
  </si>
  <si>
    <t>DeClerck</t>
  </si>
  <si>
    <t>Elzinga</t>
  </si>
  <si>
    <t>Evanoff</t>
  </si>
  <si>
    <t>Gillen</t>
  </si>
  <si>
    <t>Haines</t>
  </si>
  <si>
    <t>Hendrie</t>
  </si>
  <si>
    <t>Jensen</t>
  </si>
  <si>
    <t>Katnik</t>
  </si>
  <si>
    <t>Lasecki</t>
  </si>
  <si>
    <t>LaVigne</t>
  </si>
  <si>
    <t>Montgomery</t>
  </si>
  <si>
    <t>Myers</t>
  </si>
  <si>
    <t>Nehmer</t>
  </si>
  <si>
    <t>Noak</t>
  </si>
  <si>
    <t>Poirier</t>
  </si>
  <si>
    <t>Schumann</t>
  </si>
  <si>
    <t xml:space="preserve">Randy </t>
  </si>
  <si>
    <t xml:space="preserve">Tom </t>
  </si>
  <si>
    <t xml:space="preserve">Roger </t>
  </si>
  <si>
    <t xml:space="preserve">Tracy </t>
  </si>
  <si>
    <t xml:space="preserve">Mike </t>
  </si>
  <si>
    <t xml:space="preserve">Jim </t>
  </si>
  <si>
    <t xml:space="preserve">Don </t>
  </si>
  <si>
    <t xml:space="preserve">Jeff </t>
  </si>
  <si>
    <t xml:space="preserve">Howard </t>
  </si>
  <si>
    <t xml:space="preserve">Dave </t>
  </si>
  <si>
    <t>Peter</t>
  </si>
  <si>
    <t xml:space="preserve">John </t>
  </si>
  <si>
    <t>Mike</t>
  </si>
  <si>
    <t>Leon</t>
  </si>
  <si>
    <t>David</t>
  </si>
  <si>
    <t xml:space="preserve">Bill </t>
  </si>
  <si>
    <t xml:space="preserve">Dan </t>
  </si>
  <si>
    <t xml:space="preserve">Kara </t>
  </si>
  <si>
    <t xml:space="preserve">Will </t>
  </si>
  <si>
    <t>x</t>
  </si>
  <si>
    <t>Comments</t>
  </si>
  <si>
    <t>Emission</t>
  </si>
  <si>
    <t>Number</t>
  </si>
  <si>
    <t>Equivalent
Gallons Consumed</t>
  </si>
  <si>
    <t>Actual
Gallons
Consumed</t>
  </si>
  <si>
    <t>Corrected for energy in the tank 1.27 for E85</t>
  </si>
  <si>
    <t>J192 Level</t>
  </si>
  <si>
    <t>J192 Score</t>
  </si>
  <si>
    <t>Score</t>
  </si>
  <si>
    <t>Late Design 
Write-up/Fuel Selection</t>
  </si>
  <si>
    <t>Jim Evanoff</t>
  </si>
  <si>
    <t>Mike Davenport</t>
  </si>
  <si>
    <t>Rainbolt</t>
  </si>
  <si>
    <t>Geoff Weller</t>
  </si>
  <si>
    <t>Andre Fournier</t>
  </si>
  <si>
    <t>B. Schuehmacher</t>
  </si>
  <si>
    <t>Bob Bonneau</t>
  </si>
  <si>
    <t>Binversie</t>
  </si>
  <si>
    <t>Yesney</t>
  </si>
  <si>
    <t>Kara Noack</t>
  </si>
  <si>
    <t>Front Left</t>
  </si>
  <si>
    <t>Front Right</t>
  </si>
  <si>
    <t>Rear</t>
  </si>
  <si>
    <t>SAE CSC2006 Vehicle Weights</t>
  </si>
  <si>
    <r>
      <t xml:space="preserve">#9 University of Idaho -               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>Did Their Own &amp; Did Not Zero</t>
    </r>
  </si>
  <si>
    <t>Waterloo</t>
  </si>
  <si>
    <t>Joe Tharaldson</t>
  </si>
  <si>
    <t>Jay Ruohoner</t>
  </si>
  <si>
    <t>Aaron Nysse</t>
  </si>
  <si>
    <t>Unknown</t>
  </si>
  <si>
    <t>FAIL</t>
  </si>
  <si>
    <t>PASS</t>
  </si>
  <si>
    <t>Don</t>
  </si>
  <si>
    <t>Apple</t>
  </si>
  <si>
    <t>Baker</t>
  </si>
  <si>
    <t>Graunstadt</t>
  </si>
  <si>
    <t>Worga</t>
  </si>
  <si>
    <t>Nysse</t>
  </si>
  <si>
    <t>Jay</t>
  </si>
  <si>
    <t>Joe</t>
  </si>
  <si>
    <t>Tharaldson</t>
  </si>
  <si>
    <t>Jim</t>
  </si>
  <si>
    <t>Aho</t>
  </si>
  <si>
    <t>Richard</t>
  </si>
  <si>
    <t>Poynter</t>
  </si>
  <si>
    <t>Dorothy</t>
  </si>
  <si>
    <t>B.</t>
  </si>
  <si>
    <t>Schuehmacher</t>
  </si>
  <si>
    <t>Jeff</t>
  </si>
  <si>
    <t>Jack</t>
  </si>
  <si>
    <t>Abhay</t>
  </si>
  <si>
    <t>Rawal</t>
  </si>
  <si>
    <t>Vizento</t>
  </si>
  <si>
    <t>Fournier</t>
  </si>
  <si>
    <t>Geoff</t>
  </si>
  <si>
    <t>Weller</t>
  </si>
  <si>
    <t>Andre</t>
  </si>
  <si>
    <t>Tracy</t>
  </si>
  <si>
    <t>Zengler</t>
  </si>
  <si>
    <t>Wegleitner</t>
  </si>
  <si>
    <t>Ruohonen</t>
  </si>
  <si>
    <t>G.</t>
  </si>
  <si>
    <t>A.</t>
  </si>
  <si>
    <t>Meldrum</t>
  </si>
  <si>
    <t>DNF</t>
  </si>
  <si>
    <t>Polaris Ranger</t>
  </si>
  <si>
    <t>Maintence
Design</t>
  </si>
  <si>
    <t>E&gt;100</t>
  </si>
  <si>
    <t>Corr. Minutes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</si>
</sst>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"/>
    <numFmt numFmtId="166" formatCode="00000"/>
    <numFmt numFmtId="167" formatCode="#,##0.0000"/>
    <numFmt numFmtId="168" formatCode="&quot;$&quot;#,##0.00"/>
    <numFmt numFmtId="169" formatCode="&quot;$&quot;#,##0"/>
    <numFmt numFmtId="170" formatCode="0.000"/>
    <numFmt numFmtId="171" formatCode="#,##0.0"/>
    <numFmt numFmtId="172" formatCode="0.0%"/>
    <numFmt numFmtId="173" formatCode="0.0000"/>
    <numFmt numFmtId="174" formatCode="0.00000"/>
  </numFmts>
  <fonts count="2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1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8" fontId="4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170" fontId="0" fillId="0" borderId="1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70" fontId="0" fillId="0" borderId="0" xfId="0" applyNumberFormat="1" applyFill="1" applyBorder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1" xfId="0" applyNumberForma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70" fontId="0" fillId="0" borderId="0" xfId="0" applyNumberForma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2" fontId="9" fillId="0" borderId="0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17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0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70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0" fontId="4" fillId="0" borderId="0" xfId="0" applyNumberFormat="1" applyFont="1" applyAlignment="1" applyProtection="1">
      <alignment horizontal="left"/>
      <protection/>
    </xf>
    <xf numFmtId="170" fontId="0" fillId="0" borderId="1" xfId="0" applyNumberFormat="1" applyBorder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center" wrapText="1"/>
      <protection/>
    </xf>
    <xf numFmtId="168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quotePrefix="1">
      <alignment/>
    </xf>
    <xf numFmtId="0" fontId="16" fillId="0" borderId="1" xfId="0" applyFont="1" applyFill="1" applyBorder="1" applyAlignment="1" applyProtection="1">
      <alignment horizontal="center"/>
      <protection/>
    </xf>
    <xf numFmtId="2" fontId="0" fillId="0" borderId="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68" fontId="3" fillId="0" borderId="1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1" xfId="0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165" fontId="3" fillId="0" borderId="1" xfId="0" applyNumberFormat="1" applyFont="1" applyFill="1" applyBorder="1" applyAlignment="1" applyProtection="1">
      <alignment horizontal="center"/>
      <protection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0" fillId="0" borderId="1" xfId="0" applyBorder="1" applyAlignment="1">
      <alignment/>
    </xf>
    <xf numFmtId="165" fontId="16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75" zoomScaleNormal="75" workbookViewId="0" topLeftCell="A1">
      <selection activeCell="A40" sqref="A40"/>
    </sheetView>
  </sheetViews>
  <sheetFormatPr defaultColWidth="9.140625" defaultRowHeight="12.75"/>
  <cols>
    <col min="1" max="1" width="36.8515625" style="0" customWidth="1"/>
    <col min="2" max="2" width="8.7109375" style="0" customWidth="1"/>
    <col min="3" max="3" width="9.00390625" style="0" customWidth="1"/>
    <col min="4" max="4" width="8.7109375" style="0" customWidth="1"/>
    <col min="5" max="5" width="11.00390625" style="0" customWidth="1"/>
    <col min="6" max="22" width="8.7109375" style="0" customWidth="1"/>
    <col min="25" max="25" width="9.140625" style="173" customWidth="1"/>
  </cols>
  <sheetData>
    <row r="1" spans="1:25" ht="18.75">
      <c r="A1" s="9" t="s">
        <v>124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76"/>
    </row>
    <row r="2" spans="1:25" ht="12.75">
      <c r="A2" s="16"/>
      <c r="B2" s="195" t="s">
        <v>158</v>
      </c>
      <c r="C2" s="195" t="s">
        <v>159</v>
      </c>
      <c r="D2" s="195" t="s">
        <v>160</v>
      </c>
      <c r="E2" s="196" t="s">
        <v>161</v>
      </c>
      <c r="F2" s="196" t="s">
        <v>162</v>
      </c>
      <c r="G2" s="195" t="s">
        <v>163</v>
      </c>
      <c r="H2" s="195" t="s">
        <v>164</v>
      </c>
      <c r="I2" s="196" t="s">
        <v>163</v>
      </c>
      <c r="J2" s="195" t="s">
        <v>165</v>
      </c>
      <c r="K2" s="195" t="s">
        <v>166</v>
      </c>
      <c r="L2" s="196" t="s">
        <v>167</v>
      </c>
      <c r="M2" s="195" t="s">
        <v>168</v>
      </c>
      <c r="N2" s="195" t="s">
        <v>169</v>
      </c>
      <c r="O2" s="195" t="s">
        <v>170</v>
      </c>
      <c r="P2" s="195" t="s">
        <v>171</v>
      </c>
      <c r="Q2" s="195" t="s">
        <v>172</v>
      </c>
      <c r="R2" s="195" t="s">
        <v>173</v>
      </c>
      <c r="S2" s="196" t="s">
        <v>174</v>
      </c>
      <c r="T2" s="196" t="s">
        <v>175</v>
      </c>
      <c r="U2" s="195" t="s">
        <v>176</v>
      </c>
      <c r="V2" s="195" t="s">
        <v>173</v>
      </c>
      <c r="W2" s="16"/>
      <c r="X2" s="7"/>
      <c r="Y2" s="176"/>
    </row>
    <row r="3" spans="1:26" ht="12.75">
      <c r="A3" s="16"/>
      <c r="B3" s="195" t="s">
        <v>137</v>
      </c>
      <c r="C3" s="195" t="s">
        <v>138</v>
      </c>
      <c r="D3" s="195" t="s">
        <v>139</v>
      </c>
      <c r="E3" s="196" t="s">
        <v>140</v>
      </c>
      <c r="F3" s="196" t="s">
        <v>141</v>
      </c>
      <c r="G3" s="195" t="s">
        <v>142</v>
      </c>
      <c r="H3" s="195" t="s">
        <v>143</v>
      </c>
      <c r="I3" s="196" t="s">
        <v>144</v>
      </c>
      <c r="J3" s="195" t="s">
        <v>145</v>
      </c>
      <c r="K3" s="195" t="s">
        <v>146</v>
      </c>
      <c r="L3" s="196" t="s">
        <v>147</v>
      </c>
      <c r="M3" s="195" t="s">
        <v>148</v>
      </c>
      <c r="N3" s="195" t="s">
        <v>149</v>
      </c>
      <c r="O3" s="195" t="s">
        <v>150</v>
      </c>
      <c r="P3" s="195" t="s">
        <v>151</v>
      </c>
      <c r="Q3" s="195" t="s">
        <v>152</v>
      </c>
      <c r="R3" s="195" t="s">
        <v>153</v>
      </c>
      <c r="S3" s="196" t="s">
        <v>154</v>
      </c>
      <c r="T3" s="196" t="s">
        <v>155</v>
      </c>
      <c r="U3" s="195" t="s">
        <v>156</v>
      </c>
      <c r="V3" s="195" t="s">
        <v>157</v>
      </c>
      <c r="W3" s="49" t="s">
        <v>11</v>
      </c>
      <c r="X3" s="24" t="s">
        <v>37</v>
      </c>
      <c r="Y3" s="35"/>
      <c r="Z3" s="4"/>
    </row>
    <row r="4" spans="1:26" ht="15.75">
      <c r="A4" s="194" t="s">
        <v>110</v>
      </c>
      <c r="B4" s="53"/>
      <c r="C4" s="53"/>
      <c r="D4" s="53"/>
      <c r="E4" s="53">
        <v>85</v>
      </c>
      <c r="F4" s="53"/>
      <c r="G4" s="53">
        <v>35</v>
      </c>
      <c r="H4" s="53">
        <v>30</v>
      </c>
      <c r="I4" s="53"/>
      <c r="J4" s="53"/>
      <c r="K4" s="53">
        <v>39</v>
      </c>
      <c r="L4" s="53"/>
      <c r="M4" s="53">
        <v>62</v>
      </c>
      <c r="N4" s="53"/>
      <c r="O4" s="53"/>
      <c r="P4" s="53">
        <v>92</v>
      </c>
      <c r="Q4" s="53">
        <v>87</v>
      </c>
      <c r="R4" s="53"/>
      <c r="S4" s="53"/>
      <c r="T4" s="53"/>
      <c r="U4" s="53"/>
      <c r="V4" s="53">
        <v>79</v>
      </c>
      <c r="W4" s="50">
        <f>AVERAGE(B4:V4)</f>
        <v>63.625</v>
      </c>
      <c r="X4" s="33">
        <f>RANK(W4,$W$4:$W$16)</f>
        <v>10</v>
      </c>
      <c r="Y4" s="35">
        <f>COUNTA(B4:V4)</f>
        <v>8</v>
      </c>
      <c r="Z4" s="4"/>
    </row>
    <row r="5" spans="1:26" ht="15.75">
      <c r="A5" s="194" t="s">
        <v>111</v>
      </c>
      <c r="B5" s="53"/>
      <c r="C5" s="53">
        <v>71</v>
      </c>
      <c r="D5" s="53"/>
      <c r="E5" s="53">
        <v>77</v>
      </c>
      <c r="F5" s="53"/>
      <c r="G5" s="53">
        <v>76</v>
      </c>
      <c r="H5" s="53">
        <v>65</v>
      </c>
      <c r="I5" s="53"/>
      <c r="J5" s="53"/>
      <c r="K5" s="53">
        <v>63</v>
      </c>
      <c r="L5" s="53"/>
      <c r="M5" s="53"/>
      <c r="N5" s="53">
        <v>75</v>
      </c>
      <c r="O5" s="53"/>
      <c r="P5" s="53"/>
      <c r="Q5" s="53">
        <v>85</v>
      </c>
      <c r="R5" s="53"/>
      <c r="S5" s="53"/>
      <c r="T5" s="53"/>
      <c r="U5" s="53"/>
      <c r="V5" s="53">
        <v>78</v>
      </c>
      <c r="W5" s="50">
        <f aca="true" t="shared" si="0" ref="W5:W16">AVERAGE(B5:V5)</f>
        <v>73.75</v>
      </c>
      <c r="X5" s="33">
        <f aca="true" t="shared" si="1" ref="X5:X16">RANK(W5,$W$4:$W$16)</f>
        <v>5</v>
      </c>
      <c r="Y5" s="35">
        <f aca="true" t="shared" si="2" ref="Y5:Y16">COUNTA(B5:V5)</f>
        <v>8</v>
      </c>
      <c r="Z5" s="4"/>
    </row>
    <row r="6" spans="1:26" ht="15.75">
      <c r="A6" s="194" t="s">
        <v>112</v>
      </c>
      <c r="B6" s="53"/>
      <c r="C6" s="53">
        <v>89</v>
      </c>
      <c r="D6" s="53"/>
      <c r="E6" s="53">
        <v>91</v>
      </c>
      <c r="F6" s="53"/>
      <c r="G6" s="53">
        <v>95</v>
      </c>
      <c r="H6" s="53">
        <v>78</v>
      </c>
      <c r="I6" s="53"/>
      <c r="J6" s="53"/>
      <c r="K6" s="53">
        <v>96</v>
      </c>
      <c r="L6" s="53"/>
      <c r="M6" s="53">
        <v>79</v>
      </c>
      <c r="N6" s="53"/>
      <c r="O6" s="53"/>
      <c r="P6" s="53"/>
      <c r="Q6" s="53">
        <v>90</v>
      </c>
      <c r="R6" s="53"/>
      <c r="S6" s="53"/>
      <c r="T6" s="53"/>
      <c r="U6" s="53"/>
      <c r="V6" s="53">
        <v>86</v>
      </c>
      <c r="W6" s="50">
        <f t="shared" si="0"/>
        <v>88</v>
      </c>
      <c r="X6" s="33">
        <f t="shared" si="1"/>
        <v>1</v>
      </c>
      <c r="Y6" s="35">
        <f t="shared" si="2"/>
        <v>8</v>
      </c>
      <c r="Z6" s="4"/>
    </row>
    <row r="7" spans="1:26" ht="15.75">
      <c r="A7" s="194" t="s">
        <v>113</v>
      </c>
      <c r="B7" s="53"/>
      <c r="C7" s="53">
        <v>79</v>
      </c>
      <c r="D7" s="53"/>
      <c r="E7" s="53">
        <v>75</v>
      </c>
      <c r="F7" s="53"/>
      <c r="G7" s="53">
        <v>58</v>
      </c>
      <c r="H7" s="53">
        <v>51</v>
      </c>
      <c r="I7" s="53"/>
      <c r="J7" s="53"/>
      <c r="K7" s="53">
        <v>69</v>
      </c>
      <c r="L7" s="53"/>
      <c r="M7" s="53"/>
      <c r="N7" s="53">
        <v>72</v>
      </c>
      <c r="O7" s="53"/>
      <c r="P7" s="53"/>
      <c r="Q7" s="53">
        <v>48</v>
      </c>
      <c r="R7" s="53"/>
      <c r="S7" s="53"/>
      <c r="T7" s="53"/>
      <c r="U7" s="53"/>
      <c r="V7" s="53">
        <v>70</v>
      </c>
      <c r="W7" s="50">
        <f t="shared" si="0"/>
        <v>65.25</v>
      </c>
      <c r="X7" s="33">
        <f t="shared" si="1"/>
        <v>8</v>
      </c>
      <c r="Y7" s="35">
        <f t="shared" si="2"/>
        <v>8</v>
      </c>
      <c r="Z7" s="4"/>
    </row>
    <row r="8" spans="1:26" ht="15.75">
      <c r="A8" s="194" t="s">
        <v>114</v>
      </c>
      <c r="B8" s="53"/>
      <c r="C8" s="53">
        <v>81</v>
      </c>
      <c r="D8" s="53"/>
      <c r="E8" s="53"/>
      <c r="F8" s="53"/>
      <c r="G8" s="53">
        <v>93</v>
      </c>
      <c r="H8" s="53">
        <v>79</v>
      </c>
      <c r="I8" s="53"/>
      <c r="J8" s="53"/>
      <c r="K8" s="53">
        <v>90</v>
      </c>
      <c r="L8" s="53"/>
      <c r="M8" s="53">
        <v>64</v>
      </c>
      <c r="N8" s="53"/>
      <c r="O8" s="53"/>
      <c r="P8" s="53"/>
      <c r="Q8" s="53"/>
      <c r="R8" s="53">
        <v>85</v>
      </c>
      <c r="S8" s="53"/>
      <c r="T8" s="53">
        <v>73</v>
      </c>
      <c r="U8" s="53"/>
      <c r="V8" s="53">
        <v>69</v>
      </c>
      <c r="W8" s="50">
        <f t="shared" si="0"/>
        <v>79.25</v>
      </c>
      <c r="X8" s="33">
        <f t="shared" si="1"/>
        <v>4</v>
      </c>
      <c r="Y8" s="35">
        <f t="shared" si="2"/>
        <v>8</v>
      </c>
      <c r="Z8" s="4"/>
    </row>
    <row r="9" spans="1:26" ht="15.75">
      <c r="A9" s="194" t="s">
        <v>115</v>
      </c>
      <c r="B9" s="53"/>
      <c r="C9" s="53"/>
      <c r="D9" s="53">
        <v>83</v>
      </c>
      <c r="E9" s="53"/>
      <c r="F9" s="53"/>
      <c r="G9" s="53">
        <v>95</v>
      </c>
      <c r="H9" s="53">
        <v>72</v>
      </c>
      <c r="I9" s="53" t="s">
        <v>177</v>
      </c>
      <c r="J9" s="53"/>
      <c r="K9" s="53">
        <v>94</v>
      </c>
      <c r="L9" s="53"/>
      <c r="M9" s="53"/>
      <c r="N9" s="53">
        <v>90</v>
      </c>
      <c r="O9" s="53"/>
      <c r="P9" s="53"/>
      <c r="Q9" s="53"/>
      <c r="R9" s="53">
        <v>81</v>
      </c>
      <c r="S9" s="53"/>
      <c r="T9" s="53">
        <v>70</v>
      </c>
      <c r="U9" s="53"/>
      <c r="V9" s="53">
        <v>79</v>
      </c>
      <c r="W9" s="50">
        <f t="shared" si="0"/>
        <v>83</v>
      </c>
      <c r="X9" s="33">
        <f t="shared" si="1"/>
        <v>3</v>
      </c>
      <c r="Y9" s="35">
        <f t="shared" si="2"/>
        <v>9</v>
      </c>
      <c r="Z9" s="4"/>
    </row>
    <row r="10" spans="1:26" ht="15.75">
      <c r="A10" s="194" t="s">
        <v>116</v>
      </c>
      <c r="B10" s="53">
        <v>62</v>
      </c>
      <c r="C10" s="53"/>
      <c r="D10" s="53">
        <v>86</v>
      </c>
      <c r="E10" s="53"/>
      <c r="F10" s="53"/>
      <c r="G10" s="53">
        <v>80</v>
      </c>
      <c r="H10" s="53">
        <v>72</v>
      </c>
      <c r="I10" s="53" t="s">
        <v>177</v>
      </c>
      <c r="J10" s="53"/>
      <c r="K10" s="53">
        <v>71</v>
      </c>
      <c r="L10" s="53"/>
      <c r="M10" s="53">
        <v>59</v>
      </c>
      <c r="N10" s="53"/>
      <c r="O10" s="53"/>
      <c r="P10" s="53"/>
      <c r="Q10" s="53"/>
      <c r="R10" s="53">
        <v>78</v>
      </c>
      <c r="S10" s="53">
        <v>59</v>
      </c>
      <c r="T10" s="53"/>
      <c r="U10" s="53"/>
      <c r="V10" s="53">
        <v>77</v>
      </c>
      <c r="W10" s="50">
        <f t="shared" si="0"/>
        <v>71.55555555555556</v>
      </c>
      <c r="X10" s="33">
        <f t="shared" si="1"/>
        <v>6</v>
      </c>
      <c r="Y10" s="35">
        <f t="shared" si="2"/>
        <v>10</v>
      </c>
      <c r="Z10" s="4"/>
    </row>
    <row r="11" spans="1:26" ht="31.5">
      <c r="A11" s="194" t="s">
        <v>117</v>
      </c>
      <c r="B11" s="53">
        <v>54</v>
      </c>
      <c r="C11" s="53"/>
      <c r="D11" s="53">
        <v>71</v>
      </c>
      <c r="E11" s="53"/>
      <c r="F11" s="53"/>
      <c r="G11" s="53">
        <v>61</v>
      </c>
      <c r="H11" s="53">
        <v>64</v>
      </c>
      <c r="I11" s="53" t="s">
        <v>177</v>
      </c>
      <c r="J11" s="53"/>
      <c r="K11" s="53">
        <v>79</v>
      </c>
      <c r="L11" s="53">
        <v>70</v>
      </c>
      <c r="M11" s="53"/>
      <c r="N11" s="53"/>
      <c r="O11" s="53"/>
      <c r="P11" s="53"/>
      <c r="Q11" s="53"/>
      <c r="R11" s="53">
        <v>48</v>
      </c>
      <c r="S11" s="53"/>
      <c r="T11" s="53"/>
      <c r="U11" s="53"/>
      <c r="V11" s="53">
        <v>79</v>
      </c>
      <c r="W11" s="50">
        <f t="shared" si="0"/>
        <v>65.75</v>
      </c>
      <c r="X11" s="33">
        <f t="shared" si="1"/>
        <v>7</v>
      </c>
      <c r="Y11" s="35">
        <f t="shared" si="2"/>
        <v>9</v>
      </c>
      <c r="Z11" s="4"/>
    </row>
    <row r="12" spans="1:26" ht="15.75">
      <c r="A12" s="194" t="s">
        <v>118</v>
      </c>
      <c r="B12" s="53">
        <v>73</v>
      </c>
      <c r="C12" s="53"/>
      <c r="D12" s="53"/>
      <c r="E12" s="53"/>
      <c r="F12" s="53"/>
      <c r="G12" s="53">
        <v>89</v>
      </c>
      <c r="H12" s="53">
        <v>78</v>
      </c>
      <c r="I12" s="53" t="s">
        <v>177</v>
      </c>
      <c r="J12" s="53"/>
      <c r="K12" s="53">
        <v>86</v>
      </c>
      <c r="L12" s="53">
        <v>91</v>
      </c>
      <c r="M12" s="53"/>
      <c r="N12" s="53"/>
      <c r="O12" s="53"/>
      <c r="P12" s="53"/>
      <c r="Q12" s="53"/>
      <c r="R12" s="53"/>
      <c r="S12" s="53">
        <v>94</v>
      </c>
      <c r="T12" s="53"/>
      <c r="U12" s="53">
        <v>100</v>
      </c>
      <c r="V12" s="53"/>
      <c r="W12" s="50">
        <f t="shared" si="0"/>
        <v>87.28571428571429</v>
      </c>
      <c r="X12" s="33">
        <f t="shared" si="1"/>
        <v>2</v>
      </c>
      <c r="Y12" s="35">
        <f t="shared" si="2"/>
        <v>8</v>
      </c>
      <c r="Z12" s="4"/>
    </row>
    <row r="13" spans="1:26" ht="15.75">
      <c r="A13" s="194" t="s">
        <v>119</v>
      </c>
      <c r="B13" s="53">
        <v>32</v>
      </c>
      <c r="C13" s="53"/>
      <c r="D13" s="53"/>
      <c r="E13" s="53"/>
      <c r="F13" s="53"/>
      <c r="G13" s="53">
        <v>39</v>
      </c>
      <c r="H13" s="53">
        <v>24</v>
      </c>
      <c r="I13" s="53"/>
      <c r="J13" s="53">
        <v>55</v>
      </c>
      <c r="K13" s="53">
        <v>32</v>
      </c>
      <c r="L13" s="53">
        <v>59</v>
      </c>
      <c r="M13" s="53"/>
      <c r="N13" s="53"/>
      <c r="O13" s="53"/>
      <c r="P13" s="53"/>
      <c r="Q13" s="53"/>
      <c r="R13" s="53">
        <v>48</v>
      </c>
      <c r="S13" s="53"/>
      <c r="T13" s="53"/>
      <c r="U13" s="53">
        <v>47</v>
      </c>
      <c r="V13" s="53"/>
      <c r="W13" s="50">
        <f t="shared" si="0"/>
        <v>42</v>
      </c>
      <c r="X13" s="33">
        <f t="shared" si="1"/>
        <v>13</v>
      </c>
      <c r="Y13" s="35">
        <f t="shared" si="2"/>
        <v>8</v>
      </c>
      <c r="Z13" s="4"/>
    </row>
    <row r="14" spans="1:26" ht="15.75">
      <c r="A14" s="194" t="s">
        <v>120</v>
      </c>
      <c r="B14" s="53"/>
      <c r="C14" s="53"/>
      <c r="D14" s="53">
        <v>71</v>
      </c>
      <c r="E14" s="53"/>
      <c r="F14" s="53"/>
      <c r="G14" s="53">
        <v>35</v>
      </c>
      <c r="H14" s="53">
        <v>45</v>
      </c>
      <c r="I14" s="53"/>
      <c r="J14" s="53">
        <v>54</v>
      </c>
      <c r="K14" s="53">
        <v>29</v>
      </c>
      <c r="L14" s="53">
        <v>59</v>
      </c>
      <c r="M14" s="53"/>
      <c r="N14" s="53"/>
      <c r="O14" s="53">
        <v>61</v>
      </c>
      <c r="P14" s="53">
        <v>67</v>
      </c>
      <c r="Q14" s="53"/>
      <c r="R14" s="53"/>
      <c r="S14" s="53"/>
      <c r="T14" s="53"/>
      <c r="U14" s="53">
        <v>53</v>
      </c>
      <c r="V14" s="53"/>
      <c r="W14" s="50">
        <f t="shared" si="0"/>
        <v>52.666666666666664</v>
      </c>
      <c r="X14" s="33">
        <f t="shared" si="1"/>
        <v>12</v>
      </c>
      <c r="Y14" s="35">
        <f t="shared" si="2"/>
        <v>9</v>
      </c>
      <c r="Z14" s="4"/>
    </row>
    <row r="15" spans="1:26" ht="15.75">
      <c r="A15" s="194" t="s">
        <v>121</v>
      </c>
      <c r="B15" s="53"/>
      <c r="C15" s="53"/>
      <c r="D15" s="53">
        <v>67</v>
      </c>
      <c r="E15" s="53"/>
      <c r="F15" s="53">
        <v>35</v>
      </c>
      <c r="G15" s="53">
        <v>59</v>
      </c>
      <c r="H15" s="53">
        <v>58</v>
      </c>
      <c r="I15" s="53"/>
      <c r="J15" s="53">
        <v>66</v>
      </c>
      <c r="K15" s="53">
        <v>71</v>
      </c>
      <c r="L15" s="53">
        <v>89</v>
      </c>
      <c r="M15" s="53"/>
      <c r="N15" s="53"/>
      <c r="O15" s="53">
        <v>68</v>
      </c>
      <c r="P15" s="53"/>
      <c r="Q15" s="53"/>
      <c r="R15" s="53"/>
      <c r="S15" s="53">
        <v>53</v>
      </c>
      <c r="T15" s="53"/>
      <c r="U15" s="53">
        <v>76</v>
      </c>
      <c r="V15" s="53"/>
      <c r="W15" s="50">
        <f t="shared" si="0"/>
        <v>64.2</v>
      </c>
      <c r="X15" s="33">
        <f t="shared" si="1"/>
        <v>9</v>
      </c>
      <c r="Y15" s="35">
        <f t="shared" si="2"/>
        <v>10</v>
      </c>
      <c r="Z15" s="4"/>
    </row>
    <row r="16" spans="1:26" ht="15.75">
      <c r="A16" s="194" t="s">
        <v>122</v>
      </c>
      <c r="B16" s="53"/>
      <c r="C16" s="53"/>
      <c r="D16" s="53">
        <v>55</v>
      </c>
      <c r="E16" s="53"/>
      <c r="F16" s="53">
        <v>50</v>
      </c>
      <c r="G16" s="53">
        <v>33</v>
      </c>
      <c r="H16" s="53">
        <v>62</v>
      </c>
      <c r="I16" s="53"/>
      <c r="J16" s="53">
        <v>57</v>
      </c>
      <c r="K16" s="53">
        <v>55</v>
      </c>
      <c r="L16" s="53">
        <v>80</v>
      </c>
      <c r="M16" s="53"/>
      <c r="N16" s="53">
        <v>83</v>
      </c>
      <c r="O16" s="53">
        <v>77</v>
      </c>
      <c r="P16" s="53"/>
      <c r="Q16" s="53"/>
      <c r="R16" s="53"/>
      <c r="S16" s="53">
        <v>63</v>
      </c>
      <c r="T16" s="53"/>
      <c r="U16" s="53"/>
      <c r="V16" s="53"/>
      <c r="W16" s="50">
        <f t="shared" si="0"/>
        <v>61.5</v>
      </c>
      <c r="X16" s="33">
        <f t="shared" si="1"/>
        <v>11</v>
      </c>
      <c r="Y16" s="35">
        <f t="shared" si="2"/>
        <v>10</v>
      </c>
      <c r="Z16" s="4"/>
    </row>
    <row r="17" spans="1:26" ht="12.75">
      <c r="A17" s="27" t="s">
        <v>77</v>
      </c>
      <c r="B17" s="177"/>
      <c r="C17" s="20"/>
      <c r="D17" s="20"/>
      <c r="E17" s="175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0" t="s">
        <v>77</v>
      </c>
      <c r="X17" s="33" t="s">
        <v>77</v>
      </c>
      <c r="Y17" s="35"/>
      <c r="Z17" s="4"/>
    </row>
    <row r="18" spans="1:24" ht="12.75">
      <c r="A18" s="27" t="s">
        <v>77</v>
      </c>
      <c r="B18" s="177"/>
      <c r="C18" s="20"/>
      <c r="D18" s="20"/>
      <c r="E18" s="175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0" t="s">
        <v>77</v>
      </c>
      <c r="X18" s="33" t="s">
        <v>77</v>
      </c>
    </row>
    <row r="19" spans="1:23" s="173" customFormat="1" ht="12.75">
      <c r="A19" s="173" t="s">
        <v>82</v>
      </c>
      <c r="B19" s="197">
        <v>4</v>
      </c>
      <c r="C19" s="198">
        <v>4</v>
      </c>
      <c r="D19" s="197">
        <v>8</v>
      </c>
      <c r="E19" s="197">
        <v>4</v>
      </c>
      <c r="F19" s="197">
        <v>4</v>
      </c>
      <c r="G19" s="197">
        <v>16</v>
      </c>
      <c r="H19" s="198">
        <v>8</v>
      </c>
      <c r="I19" s="198">
        <v>4</v>
      </c>
      <c r="J19" s="198">
        <v>4</v>
      </c>
      <c r="K19" s="198">
        <v>16</v>
      </c>
      <c r="L19" s="197">
        <v>8</v>
      </c>
      <c r="M19" s="197">
        <v>4</v>
      </c>
      <c r="N19" s="197">
        <v>4</v>
      </c>
      <c r="O19" s="198">
        <v>8</v>
      </c>
      <c r="P19" s="198">
        <v>4</v>
      </c>
      <c r="Q19" s="198">
        <v>4</v>
      </c>
      <c r="R19" s="198">
        <v>4</v>
      </c>
      <c r="S19" s="197">
        <v>4</v>
      </c>
      <c r="T19" s="197">
        <v>4</v>
      </c>
      <c r="U19" s="198">
        <v>4</v>
      </c>
      <c r="V19" s="198">
        <v>8</v>
      </c>
      <c r="W19" s="174"/>
    </row>
    <row r="20" spans="1:23" ht="12.75">
      <c r="A20" t="s">
        <v>81</v>
      </c>
      <c r="B20" s="1">
        <f>COUNTA(B4:B16)</f>
        <v>4</v>
      </c>
      <c r="C20" s="1">
        <f aca="true" t="shared" si="3" ref="C20:V20">COUNTA(C4:C16)</f>
        <v>4</v>
      </c>
      <c r="D20" s="1">
        <f t="shared" si="3"/>
        <v>6</v>
      </c>
      <c r="E20" s="1">
        <f t="shared" si="3"/>
        <v>4</v>
      </c>
      <c r="F20" s="1">
        <f t="shared" si="3"/>
        <v>2</v>
      </c>
      <c r="G20" s="1">
        <f t="shared" si="3"/>
        <v>13</v>
      </c>
      <c r="H20" s="1">
        <f t="shared" si="3"/>
        <v>13</v>
      </c>
      <c r="I20" s="1">
        <f t="shared" si="3"/>
        <v>4</v>
      </c>
      <c r="J20" s="1">
        <f t="shared" si="3"/>
        <v>4</v>
      </c>
      <c r="K20" s="1">
        <f>COUNTA(K4:K16)</f>
        <v>13</v>
      </c>
      <c r="L20" s="1">
        <f t="shared" si="3"/>
        <v>6</v>
      </c>
      <c r="M20" s="1">
        <f t="shared" si="3"/>
        <v>4</v>
      </c>
      <c r="N20" s="1">
        <f t="shared" si="3"/>
        <v>4</v>
      </c>
      <c r="O20" s="1">
        <f t="shared" si="3"/>
        <v>3</v>
      </c>
      <c r="P20" s="1">
        <f t="shared" si="3"/>
        <v>2</v>
      </c>
      <c r="Q20" s="1">
        <f t="shared" si="3"/>
        <v>4</v>
      </c>
      <c r="R20" s="1">
        <f t="shared" si="3"/>
        <v>5</v>
      </c>
      <c r="S20" s="1">
        <f t="shared" si="3"/>
        <v>4</v>
      </c>
      <c r="T20" s="1">
        <f t="shared" si="3"/>
        <v>2</v>
      </c>
      <c r="U20" s="1">
        <f t="shared" si="3"/>
        <v>4</v>
      </c>
      <c r="V20" s="1">
        <f t="shared" si="3"/>
        <v>8</v>
      </c>
      <c r="W20" s="1"/>
    </row>
    <row r="21" spans="5:6" ht="12.75">
      <c r="E21" s="61"/>
      <c r="F21" s="61"/>
    </row>
    <row r="22" spans="1:5" ht="12.75">
      <c r="A22" s="27"/>
      <c r="B22" s="181"/>
      <c r="E22" s="61"/>
    </row>
    <row r="26" ht="12.75">
      <c r="E26" s="203"/>
    </row>
    <row r="28" ht="12.75">
      <c r="A28" s="27"/>
    </row>
    <row r="32" ht="12.75">
      <c r="A32" s="27"/>
    </row>
  </sheetData>
  <printOptions/>
  <pageMargins left="0.75" right="0.75" top="1" bottom="1" header="0.5" footer="0.5"/>
  <pageSetup fitToHeight="1" fitToWidth="1" horizontalDpi="300" verticalDpi="3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15" sqref="G15"/>
    </sheetView>
  </sheetViews>
  <sheetFormatPr defaultColWidth="9.140625" defaultRowHeight="12.75"/>
  <cols>
    <col min="1" max="1" width="36.140625" style="0" customWidth="1"/>
    <col min="2" max="2" width="17.7109375" style="0" bestFit="1" customWidth="1"/>
    <col min="3" max="3" width="14.7109375" style="0" customWidth="1"/>
  </cols>
  <sheetData>
    <row r="1" spans="1:5" ht="18.75">
      <c r="A1" s="9" t="s">
        <v>133</v>
      </c>
      <c r="B1" s="7"/>
      <c r="C1" s="7"/>
      <c r="D1" s="7"/>
      <c r="E1" s="7"/>
    </row>
    <row r="2" spans="1:5" ht="12.75">
      <c r="A2" s="7"/>
      <c r="B2" s="12"/>
      <c r="C2" s="7"/>
      <c r="D2" s="7"/>
      <c r="E2" s="7"/>
    </row>
    <row r="3" spans="1:5" ht="12.75">
      <c r="A3" s="14"/>
      <c r="B3" s="18" t="s">
        <v>19</v>
      </c>
      <c r="C3" s="64" t="s">
        <v>16</v>
      </c>
      <c r="D3" s="7"/>
      <c r="E3" s="7"/>
    </row>
    <row r="4" spans="1:5" ht="15.75">
      <c r="A4" s="194" t="s">
        <v>110</v>
      </c>
      <c r="B4" s="158" t="s">
        <v>208</v>
      </c>
      <c r="C4" s="64">
        <f>IF(B4="fail",0,50)</f>
        <v>0</v>
      </c>
      <c r="D4" s="7"/>
      <c r="E4" s="7"/>
    </row>
    <row r="5" spans="1:5" ht="15.75">
      <c r="A5" s="194" t="s">
        <v>111</v>
      </c>
      <c r="B5" s="158" t="s">
        <v>209</v>
      </c>
      <c r="C5" s="64">
        <f aca="true" t="shared" si="0" ref="C5:C17">IF(B5="fail",0,50)</f>
        <v>50</v>
      </c>
      <c r="D5" s="7"/>
      <c r="E5" s="7"/>
    </row>
    <row r="6" spans="1:5" ht="15.75">
      <c r="A6" s="194" t="s">
        <v>112</v>
      </c>
      <c r="B6" s="158" t="s">
        <v>208</v>
      </c>
      <c r="C6" s="64">
        <f t="shared" si="0"/>
        <v>0</v>
      </c>
      <c r="D6" s="7"/>
      <c r="E6" s="7"/>
    </row>
    <row r="7" spans="1:5" ht="15.75">
      <c r="A7" s="194" t="s">
        <v>113</v>
      </c>
      <c r="B7" s="158" t="s">
        <v>209</v>
      </c>
      <c r="C7" s="64">
        <f t="shared" si="0"/>
        <v>50</v>
      </c>
      <c r="D7" s="7"/>
      <c r="E7" s="7"/>
    </row>
    <row r="8" spans="1:5" ht="15.75">
      <c r="A8" s="194" t="s">
        <v>114</v>
      </c>
      <c r="B8" s="158" t="s">
        <v>209</v>
      </c>
      <c r="C8" s="64">
        <f t="shared" si="0"/>
        <v>50</v>
      </c>
      <c r="D8" s="7"/>
      <c r="E8" s="7"/>
    </row>
    <row r="9" spans="1:5" ht="15.75">
      <c r="A9" s="194" t="s">
        <v>115</v>
      </c>
      <c r="B9" s="158" t="s">
        <v>208</v>
      </c>
      <c r="C9" s="64">
        <f t="shared" si="0"/>
        <v>0</v>
      </c>
      <c r="D9" s="7"/>
      <c r="E9" s="7"/>
    </row>
    <row r="10" spans="1:5" ht="15.75">
      <c r="A10" s="194" t="s">
        <v>116</v>
      </c>
      <c r="B10" s="158" t="s">
        <v>209</v>
      </c>
      <c r="C10" s="64">
        <f t="shared" si="0"/>
        <v>50</v>
      </c>
      <c r="D10" s="7"/>
      <c r="E10" s="7"/>
    </row>
    <row r="11" spans="1:5" ht="31.5">
      <c r="A11" s="194" t="s">
        <v>117</v>
      </c>
      <c r="B11" s="158" t="s">
        <v>208</v>
      </c>
      <c r="C11" s="64">
        <f t="shared" si="0"/>
        <v>0</v>
      </c>
      <c r="D11" s="7"/>
      <c r="E11" s="7"/>
    </row>
    <row r="12" spans="1:5" ht="15.75">
      <c r="A12" s="194" t="s">
        <v>118</v>
      </c>
      <c r="B12" s="158" t="s">
        <v>208</v>
      </c>
      <c r="C12" s="64">
        <f t="shared" si="0"/>
        <v>0</v>
      </c>
      <c r="D12" s="7"/>
      <c r="E12" s="7"/>
    </row>
    <row r="13" spans="1:5" ht="15.75">
      <c r="A13" s="194" t="s">
        <v>119</v>
      </c>
      <c r="B13" s="158" t="s">
        <v>209</v>
      </c>
      <c r="C13" s="64">
        <f t="shared" si="0"/>
        <v>50</v>
      </c>
      <c r="D13" s="7"/>
      <c r="E13" s="7"/>
    </row>
    <row r="14" spans="1:5" ht="15.75">
      <c r="A14" s="194" t="s">
        <v>120</v>
      </c>
      <c r="B14" s="158" t="s">
        <v>209</v>
      </c>
      <c r="C14" s="64">
        <f t="shared" si="0"/>
        <v>50</v>
      </c>
      <c r="D14" s="7"/>
      <c r="E14" s="7"/>
    </row>
    <row r="15" spans="1:5" ht="15.75">
      <c r="A15" s="194" t="s">
        <v>121</v>
      </c>
      <c r="B15" s="158" t="s">
        <v>209</v>
      </c>
      <c r="C15" s="64">
        <f t="shared" si="0"/>
        <v>50</v>
      </c>
      <c r="D15" s="7"/>
      <c r="E15" s="7"/>
    </row>
    <row r="16" spans="1:3" ht="15.75">
      <c r="A16" s="194" t="s">
        <v>122</v>
      </c>
      <c r="B16" s="158" t="s">
        <v>208</v>
      </c>
      <c r="C16" s="64">
        <f t="shared" si="0"/>
        <v>0</v>
      </c>
    </row>
    <row r="17" spans="1:3" ht="12.75">
      <c r="A17" s="178" t="s">
        <v>107</v>
      </c>
      <c r="B17" s="158"/>
      <c r="C17" s="64">
        <f t="shared" si="0"/>
        <v>50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selection activeCell="I31" sqref="I31"/>
    </sheetView>
  </sheetViews>
  <sheetFormatPr defaultColWidth="9.140625" defaultRowHeight="12.75"/>
  <cols>
    <col min="1" max="1" width="33.28125" style="0" customWidth="1"/>
    <col min="2" max="4" width="10.7109375" style="0" customWidth="1"/>
    <col min="5" max="5" width="9.8515625" style="0" customWidth="1"/>
    <col min="6" max="6" width="11.57421875" style="0" customWidth="1"/>
    <col min="7" max="7" width="8.28125" style="0" customWidth="1"/>
    <col min="8" max="9" width="9.8515625" style="0" customWidth="1"/>
    <col min="10" max="10" width="7.421875" style="0" customWidth="1"/>
    <col min="11" max="11" width="10.00390625" style="0" bestFit="1" customWidth="1"/>
    <col min="12" max="12" width="7.421875" style="0" customWidth="1"/>
    <col min="13" max="13" width="8.8515625" style="0" customWidth="1"/>
    <col min="14" max="14" width="10.57421875" style="0" customWidth="1"/>
    <col min="15" max="15" width="8.28125" style="0" customWidth="1"/>
  </cols>
  <sheetData>
    <row r="1" spans="1:15" ht="18.75">
      <c r="A1" s="51" t="s">
        <v>134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8"/>
      <c r="O2" s="48"/>
    </row>
    <row r="3" spans="1:15" ht="25.5">
      <c r="A3" s="27"/>
      <c r="B3" s="179" t="s">
        <v>99</v>
      </c>
      <c r="C3" s="179" t="s">
        <v>205</v>
      </c>
      <c r="D3" s="179" t="s">
        <v>204</v>
      </c>
      <c r="E3" s="179" t="s">
        <v>100</v>
      </c>
      <c r="F3" s="179" t="s">
        <v>101</v>
      </c>
      <c r="G3" s="179" t="s">
        <v>206</v>
      </c>
      <c r="H3" s="179" t="s">
        <v>141</v>
      </c>
      <c r="I3" s="179" t="s">
        <v>195</v>
      </c>
      <c r="J3" s="179" t="s">
        <v>102</v>
      </c>
      <c r="K3" s="179" t="s">
        <v>103</v>
      </c>
      <c r="L3" s="179" t="s">
        <v>104</v>
      </c>
      <c r="M3" s="179" t="s">
        <v>207</v>
      </c>
      <c r="N3" s="49" t="s">
        <v>11</v>
      </c>
      <c r="O3" s="52" t="s">
        <v>37</v>
      </c>
    </row>
    <row r="4" spans="1:17" ht="15.75">
      <c r="A4" s="194" t="s">
        <v>110</v>
      </c>
      <c r="B4" s="53">
        <v>39</v>
      </c>
      <c r="C4" s="53"/>
      <c r="D4" s="53">
        <v>40.5</v>
      </c>
      <c r="E4" s="53">
        <v>32</v>
      </c>
      <c r="F4" s="53">
        <v>35.5</v>
      </c>
      <c r="G4" s="53">
        <v>37.5</v>
      </c>
      <c r="H4" s="53">
        <v>37</v>
      </c>
      <c r="I4" s="53"/>
      <c r="J4" s="53">
        <v>36</v>
      </c>
      <c r="K4" s="53">
        <v>21</v>
      </c>
      <c r="L4" s="53">
        <v>32.5</v>
      </c>
      <c r="M4" s="53"/>
      <c r="N4" s="50">
        <f aca="true" t="shared" si="0" ref="N4:N15">AVERAGE(B4:M4)</f>
        <v>34.55555555555556</v>
      </c>
      <c r="O4" s="54">
        <f aca="true" t="shared" si="1" ref="O4:O15">RANK(N4,$N$4:$N$15)</f>
        <v>9</v>
      </c>
      <c r="Q4">
        <f>COUNTA(B4:M4)</f>
        <v>9</v>
      </c>
    </row>
    <row r="5" spans="1:17" ht="15.75">
      <c r="A5" s="194" t="s">
        <v>111</v>
      </c>
      <c r="B5" s="212"/>
      <c r="C5" s="53">
        <v>47.5</v>
      </c>
      <c r="D5" s="53"/>
      <c r="E5" s="53"/>
      <c r="F5" s="53">
        <v>38.5</v>
      </c>
      <c r="G5" s="53">
        <v>39.5</v>
      </c>
      <c r="H5" s="53">
        <v>38</v>
      </c>
      <c r="I5" s="53">
        <v>34</v>
      </c>
      <c r="J5" s="53">
        <v>33</v>
      </c>
      <c r="K5" s="53">
        <v>33</v>
      </c>
      <c r="L5" s="53">
        <v>37.5</v>
      </c>
      <c r="M5" s="53"/>
      <c r="N5" s="50">
        <f t="shared" si="0"/>
        <v>37.625</v>
      </c>
      <c r="O5" s="54">
        <f t="shared" si="1"/>
        <v>5</v>
      </c>
      <c r="Q5">
        <f aca="true" t="shared" si="2" ref="Q5:Q16">COUNTA(B5:M5)</f>
        <v>8</v>
      </c>
    </row>
    <row r="6" spans="1:17" ht="15.75">
      <c r="A6" s="194" t="s">
        <v>112</v>
      </c>
      <c r="B6" s="53">
        <v>39</v>
      </c>
      <c r="C6" s="53"/>
      <c r="D6" s="53">
        <v>44</v>
      </c>
      <c r="E6" s="53">
        <v>39</v>
      </c>
      <c r="F6" s="53">
        <v>42</v>
      </c>
      <c r="G6" s="53">
        <v>38</v>
      </c>
      <c r="H6" s="53">
        <v>39</v>
      </c>
      <c r="I6" s="53"/>
      <c r="J6" s="53">
        <v>43</v>
      </c>
      <c r="K6" s="53">
        <v>33</v>
      </c>
      <c r="L6" s="53">
        <v>33.5</v>
      </c>
      <c r="M6" s="53"/>
      <c r="N6" s="50">
        <f t="shared" si="0"/>
        <v>38.94444444444444</v>
      </c>
      <c r="O6" s="54">
        <f t="shared" si="1"/>
        <v>4</v>
      </c>
      <c r="Q6">
        <f t="shared" si="2"/>
        <v>9</v>
      </c>
    </row>
    <row r="7" spans="1:17" ht="15.75">
      <c r="A7" s="194" t="s">
        <v>113</v>
      </c>
      <c r="B7" s="212">
        <v>34</v>
      </c>
      <c r="C7" s="53">
        <v>45.5</v>
      </c>
      <c r="D7" s="53"/>
      <c r="E7" s="53"/>
      <c r="F7" s="53">
        <v>37</v>
      </c>
      <c r="G7" s="53"/>
      <c r="H7" s="53">
        <v>31.5</v>
      </c>
      <c r="I7" s="53">
        <v>30</v>
      </c>
      <c r="J7" s="53"/>
      <c r="K7" s="53">
        <v>33</v>
      </c>
      <c r="L7" s="53">
        <v>29.5</v>
      </c>
      <c r="M7" s="53"/>
      <c r="N7" s="50">
        <f t="shared" si="0"/>
        <v>34.357142857142854</v>
      </c>
      <c r="O7" s="54">
        <f t="shared" si="1"/>
        <v>10</v>
      </c>
      <c r="Q7">
        <f t="shared" si="2"/>
        <v>7</v>
      </c>
    </row>
    <row r="8" spans="1:17" ht="15.75">
      <c r="A8" s="194" t="s">
        <v>114</v>
      </c>
      <c r="B8" s="53">
        <v>39</v>
      </c>
      <c r="C8" s="53"/>
      <c r="D8" s="53">
        <v>45</v>
      </c>
      <c r="E8" s="53">
        <v>44.5</v>
      </c>
      <c r="F8" s="53">
        <v>41</v>
      </c>
      <c r="G8" s="53"/>
      <c r="H8" s="53">
        <v>48</v>
      </c>
      <c r="I8" s="53"/>
      <c r="J8" s="53">
        <v>41.5</v>
      </c>
      <c r="K8" s="53">
        <v>40</v>
      </c>
      <c r="L8" s="53">
        <v>40</v>
      </c>
      <c r="M8" s="53">
        <v>41.5</v>
      </c>
      <c r="N8" s="50">
        <f t="shared" si="0"/>
        <v>42.27777777777778</v>
      </c>
      <c r="O8" s="54">
        <f t="shared" si="1"/>
        <v>1</v>
      </c>
      <c r="Q8">
        <f t="shared" si="2"/>
        <v>9</v>
      </c>
    </row>
    <row r="9" spans="1:17" ht="15.75">
      <c r="A9" s="194" t="s">
        <v>115</v>
      </c>
      <c r="B9" s="53">
        <v>28</v>
      </c>
      <c r="C9" s="53">
        <v>44.5</v>
      </c>
      <c r="D9" s="53"/>
      <c r="E9" s="53">
        <v>34</v>
      </c>
      <c r="F9" s="53">
        <v>39.5</v>
      </c>
      <c r="G9" s="53">
        <v>36.5</v>
      </c>
      <c r="H9" s="53">
        <v>29</v>
      </c>
      <c r="I9" s="53">
        <v>27</v>
      </c>
      <c r="J9" s="53">
        <v>32</v>
      </c>
      <c r="K9" s="53">
        <v>38</v>
      </c>
      <c r="L9" s="53">
        <v>41</v>
      </c>
      <c r="M9" s="53"/>
      <c r="N9" s="50">
        <f t="shared" si="0"/>
        <v>34.95</v>
      </c>
      <c r="O9" s="54">
        <f t="shared" si="1"/>
        <v>8</v>
      </c>
      <c r="Q9">
        <f t="shared" si="2"/>
        <v>10</v>
      </c>
    </row>
    <row r="10" spans="1:17" ht="31.5">
      <c r="A10" s="194" t="s">
        <v>116</v>
      </c>
      <c r="B10" s="53">
        <v>37</v>
      </c>
      <c r="C10" s="53">
        <v>39</v>
      </c>
      <c r="D10" s="53"/>
      <c r="E10" s="53"/>
      <c r="F10" s="53">
        <v>39.5</v>
      </c>
      <c r="G10" s="53">
        <v>46.5</v>
      </c>
      <c r="H10" s="53">
        <v>46.5</v>
      </c>
      <c r="I10" s="53"/>
      <c r="J10" s="53">
        <v>41</v>
      </c>
      <c r="K10" s="53">
        <v>34</v>
      </c>
      <c r="L10" s="53">
        <v>44.5</v>
      </c>
      <c r="M10" s="53">
        <v>40</v>
      </c>
      <c r="N10" s="50">
        <f t="shared" si="0"/>
        <v>40.888888888888886</v>
      </c>
      <c r="O10" s="54">
        <f t="shared" si="1"/>
        <v>3</v>
      </c>
      <c r="Q10">
        <f t="shared" si="2"/>
        <v>9</v>
      </c>
    </row>
    <row r="11" spans="1:17" ht="31.5">
      <c r="A11" s="194" t="s">
        <v>117</v>
      </c>
      <c r="B11" s="53">
        <v>28</v>
      </c>
      <c r="C11" s="53"/>
      <c r="D11" s="53"/>
      <c r="E11" s="53">
        <v>31</v>
      </c>
      <c r="F11" s="53">
        <v>29</v>
      </c>
      <c r="G11" s="53">
        <v>24</v>
      </c>
      <c r="H11" s="53">
        <v>29</v>
      </c>
      <c r="I11" s="53"/>
      <c r="J11" s="53">
        <v>21.5</v>
      </c>
      <c r="K11" s="53">
        <v>30</v>
      </c>
      <c r="L11" s="53">
        <v>33</v>
      </c>
      <c r="M11" s="53"/>
      <c r="N11" s="50">
        <f t="shared" si="0"/>
        <v>28.1875</v>
      </c>
      <c r="O11" s="54">
        <f t="shared" si="1"/>
        <v>12</v>
      </c>
      <c r="Q11">
        <f t="shared" si="2"/>
        <v>8</v>
      </c>
    </row>
    <row r="12" spans="1:17" ht="15.75">
      <c r="A12" s="194" t="s">
        <v>118</v>
      </c>
      <c r="B12" s="53">
        <v>25</v>
      </c>
      <c r="C12" s="53">
        <v>34</v>
      </c>
      <c r="D12" s="53"/>
      <c r="E12" s="53"/>
      <c r="F12" s="53">
        <v>35</v>
      </c>
      <c r="G12" s="53">
        <v>47</v>
      </c>
      <c r="H12" s="53">
        <v>44</v>
      </c>
      <c r="I12" s="53">
        <v>37</v>
      </c>
      <c r="J12" s="53">
        <v>44.5</v>
      </c>
      <c r="K12" s="53">
        <v>29</v>
      </c>
      <c r="L12" s="53">
        <v>34.5</v>
      </c>
      <c r="M12" s="53"/>
      <c r="N12" s="50">
        <f t="shared" si="0"/>
        <v>36.666666666666664</v>
      </c>
      <c r="O12" s="54">
        <f t="shared" si="1"/>
        <v>7</v>
      </c>
      <c r="Q12">
        <f t="shared" si="2"/>
        <v>9</v>
      </c>
    </row>
    <row r="13" spans="1:17" ht="15.75">
      <c r="A13" s="194" t="s">
        <v>119</v>
      </c>
      <c r="B13" s="212">
        <v>34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0">
        <f t="shared" si="0"/>
        <v>34</v>
      </c>
      <c r="O13" s="54">
        <f t="shared" si="1"/>
        <v>11</v>
      </c>
      <c r="Q13">
        <f t="shared" si="2"/>
        <v>1</v>
      </c>
    </row>
    <row r="14" spans="1:17" ht="15.75">
      <c r="A14" s="194" t="s">
        <v>120</v>
      </c>
      <c r="B14" s="53">
        <v>32</v>
      </c>
      <c r="C14" s="53">
        <v>42</v>
      </c>
      <c r="D14" s="53"/>
      <c r="E14" s="53">
        <v>44</v>
      </c>
      <c r="F14" s="53">
        <v>40</v>
      </c>
      <c r="G14" s="53">
        <v>41.5</v>
      </c>
      <c r="H14" s="53">
        <v>33</v>
      </c>
      <c r="I14" s="53">
        <v>33</v>
      </c>
      <c r="J14" s="53">
        <v>43.5</v>
      </c>
      <c r="K14" s="53"/>
      <c r="L14" s="53">
        <v>24.5</v>
      </c>
      <c r="M14" s="53"/>
      <c r="N14" s="50">
        <f t="shared" si="0"/>
        <v>37.05555555555556</v>
      </c>
      <c r="O14" s="54">
        <f t="shared" si="1"/>
        <v>6</v>
      </c>
      <c r="Q14">
        <f t="shared" si="2"/>
        <v>9</v>
      </c>
    </row>
    <row r="15" spans="1:17" ht="31.5">
      <c r="A15" s="194" t="s">
        <v>121</v>
      </c>
      <c r="B15" s="53">
        <v>35</v>
      </c>
      <c r="C15" s="53"/>
      <c r="D15" s="53"/>
      <c r="E15" s="53">
        <v>47</v>
      </c>
      <c r="F15" s="53">
        <v>44.5</v>
      </c>
      <c r="G15" s="53">
        <v>48</v>
      </c>
      <c r="H15" s="53">
        <v>43</v>
      </c>
      <c r="I15" s="53">
        <v>42</v>
      </c>
      <c r="J15" s="53">
        <v>41.5</v>
      </c>
      <c r="K15" s="53">
        <v>42</v>
      </c>
      <c r="L15" s="53">
        <v>41</v>
      </c>
      <c r="M15" s="53">
        <v>37</v>
      </c>
      <c r="N15" s="50">
        <f t="shared" si="0"/>
        <v>42.1</v>
      </c>
      <c r="O15" s="54">
        <f t="shared" si="1"/>
        <v>2</v>
      </c>
      <c r="Q15">
        <f t="shared" si="2"/>
        <v>10</v>
      </c>
    </row>
    <row r="16" spans="1:17" ht="12.75">
      <c r="A16" s="27" t="s">
        <v>203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0">
        <v>0</v>
      </c>
      <c r="O16" s="54"/>
      <c r="Q16">
        <f t="shared" si="2"/>
        <v>0</v>
      </c>
    </row>
    <row r="17" spans="1:15" ht="12.75">
      <c r="A17" s="2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50"/>
      <c r="O17" s="54"/>
    </row>
    <row r="18" spans="2:15" ht="12.75">
      <c r="B18" s="182"/>
      <c r="C18" s="182"/>
      <c r="D18" s="18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2:15" ht="12.7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2:15" ht="12.75">
      <c r="B20" s="182"/>
      <c r="C20" s="182"/>
      <c r="D20" s="18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32" spans="2:4" ht="12.75">
      <c r="B32" s="185"/>
      <c r="C32" s="185"/>
      <c r="D32" s="185"/>
    </row>
    <row r="40" spans="2:4" ht="12.75">
      <c r="B40" s="185"/>
      <c r="C40" s="185"/>
      <c r="D40" s="185"/>
    </row>
  </sheetData>
  <printOptions/>
  <pageMargins left="0.75" right="0.75" top="1" bottom="1" header="0.5" footer="0.5"/>
  <pageSetup fitToHeight="1" fitToWidth="1" horizontalDpi="300" verticalDpi="300" orientation="landscape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B21" sqref="B21"/>
    </sheetView>
  </sheetViews>
  <sheetFormatPr defaultColWidth="9.140625" defaultRowHeight="12.75"/>
  <cols>
    <col min="1" max="1" width="35.00390625" style="0" customWidth="1"/>
    <col min="2" max="2" width="10.00390625" style="0" customWidth="1"/>
    <col min="3" max="3" width="10.28125" style="0" customWidth="1"/>
    <col min="4" max="4" width="13.421875" style="0" customWidth="1"/>
    <col min="5" max="5" width="10.140625" style="0" customWidth="1"/>
    <col min="6" max="6" width="10.00390625" style="0" customWidth="1"/>
    <col min="7" max="7" width="11.00390625" style="0" customWidth="1"/>
    <col min="8" max="8" width="9.421875" style="0" customWidth="1"/>
    <col min="9" max="10" width="10.00390625" style="0" customWidth="1"/>
  </cols>
  <sheetData>
    <row r="1" spans="1:12" ht="18.75">
      <c r="A1" s="9" t="s">
        <v>135</v>
      </c>
      <c r="B1" s="7"/>
      <c r="C1" s="7"/>
      <c r="D1" s="7"/>
      <c r="E1" s="7"/>
      <c r="F1" s="7"/>
      <c r="G1" s="7"/>
      <c r="H1" s="7"/>
      <c r="I1" s="11"/>
      <c r="J1" s="7"/>
      <c r="K1" s="7"/>
      <c r="L1" s="7"/>
    </row>
    <row r="2" spans="1:12" ht="12.75">
      <c r="A2" s="43"/>
      <c r="B2" s="7"/>
      <c r="D2" s="11" t="s">
        <v>49</v>
      </c>
      <c r="E2" s="82">
        <f>MAX(D6:D17)</f>
        <v>54.17</v>
      </c>
      <c r="F2" s="7" t="s">
        <v>18</v>
      </c>
      <c r="G2" s="7"/>
      <c r="H2" s="7"/>
      <c r="I2" s="11"/>
      <c r="J2" s="7"/>
      <c r="K2" s="7"/>
      <c r="L2" s="7"/>
    </row>
    <row r="3" spans="1:12" ht="12.75">
      <c r="A3" s="10"/>
      <c r="B3" s="7"/>
      <c r="D3" s="11" t="s">
        <v>50</v>
      </c>
      <c r="E3" s="82">
        <f>MIN(D6:D17)</f>
        <v>45.45</v>
      </c>
      <c r="F3" s="7" t="s">
        <v>18</v>
      </c>
      <c r="G3" s="7"/>
      <c r="H3" s="7"/>
      <c r="I3" s="11"/>
      <c r="J3" s="7"/>
      <c r="K3" s="7"/>
      <c r="L3" s="7"/>
    </row>
    <row r="4" spans="1:12" ht="12.75">
      <c r="A4" s="19"/>
      <c r="B4" s="19"/>
      <c r="C4" s="19"/>
      <c r="D4" s="19"/>
      <c r="E4" s="7"/>
      <c r="F4" s="19"/>
      <c r="G4" s="19"/>
      <c r="H4" s="19"/>
      <c r="I4" s="29"/>
      <c r="J4" s="7"/>
      <c r="K4" s="7"/>
      <c r="L4" s="7"/>
    </row>
    <row r="5" spans="1:12" ht="30.75" customHeight="1">
      <c r="A5" s="93"/>
      <c r="B5" s="44" t="s">
        <v>46</v>
      </c>
      <c r="C5" s="44" t="s">
        <v>47</v>
      </c>
      <c r="D5" s="44" t="s">
        <v>48</v>
      </c>
      <c r="E5" s="44" t="s">
        <v>11</v>
      </c>
      <c r="F5" s="28" t="s">
        <v>37</v>
      </c>
      <c r="G5" s="28"/>
      <c r="H5" s="28"/>
      <c r="I5" s="17"/>
      <c r="J5" s="15"/>
      <c r="K5" s="6"/>
      <c r="L5" s="7"/>
    </row>
    <row r="6" spans="1:12" ht="15.75">
      <c r="A6" s="194" t="s">
        <v>110</v>
      </c>
      <c r="B6" s="187">
        <v>50.68</v>
      </c>
      <c r="C6" s="187">
        <v>52.37</v>
      </c>
      <c r="D6" s="148">
        <f>MIN(B6:C6)</f>
        <v>50.68</v>
      </c>
      <c r="E6" s="69">
        <f>75*(($E$2/D6)^2-1)/(($E$2/$E$3)^2-1)</f>
        <v>25.40894689272487</v>
      </c>
      <c r="F6" s="22">
        <f>RANK(E6,$E$6:$E$17)</f>
        <v>11</v>
      </c>
      <c r="G6" s="59"/>
      <c r="H6" s="59"/>
      <c r="I6" s="31"/>
      <c r="J6" s="32"/>
      <c r="K6" s="22"/>
      <c r="L6" s="7"/>
    </row>
    <row r="7" spans="1:12" ht="15.75">
      <c r="A7" s="194" t="s">
        <v>111</v>
      </c>
      <c r="B7" s="155">
        <v>53.46</v>
      </c>
      <c r="C7" s="155">
        <v>49.81</v>
      </c>
      <c r="D7" s="148">
        <f aca="true" t="shared" si="0" ref="D7:D17">MIN(B7:C7)</f>
        <v>49.81</v>
      </c>
      <c r="E7" s="69">
        <f aca="true" t="shared" si="1" ref="E7:E17">75*(($E$2/D7)^2-1)/(($E$2/$E$3)^2-1)</f>
        <v>32.58886499199345</v>
      </c>
      <c r="F7" s="22">
        <f aca="true" t="shared" si="2" ref="F7:F17">RANK(E7,$E$6:$E$17)</f>
        <v>9</v>
      </c>
      <c r="G7" s="92"/>
      <c r="H7" s="92"/>
      <c r="I7" s="31"/>
      <c r="J7" s="32"/>
      <c r="K7" s="22"/>
      <c r="L7" s="7"/>
    </row>
    <row r="8" spans="1:12" ht="15.75">
      <c r="A8" s="194" t="s">
        <v>112</v>
      </c>
      <c r="B8" s="164">
        <v>48.7</v>
      </c>
      <c r="C8" s="164">
        <v>49.01</v>
      </c>
      <c r="D8" s="148">
        <f t="shared" si="0"/>
        <v>48.7</v>
      </c>
      <c r="E8" s="69">
        <f t="shared" si="1"/>
        <v>42.31400761888498</v>
      </c>
      <c r="F8" s="22">
        <f t="shared" si="2"/>
        <v>7</v>
      </c>
      <c r="G8" s="59"/>
      <c r="H8" s="59"/>
      <c r="I8" s="31"/>
      <c r="J8" s="32"/>
      <c r="K8" s="22"/>
      <c r="L8" s="7"/>
    </row>
    <row r="9" spans="1:12" ht="15.75">
      <c r="A9" s="194" t="s">
        <v>113</v>
      </c>
      <c r="B9" s="155">
        <v>48.68</v>
      </c>
      <c r="C9" s="155">
        <v>48.03</v>
      </c>
      <c r="D9" s="148">
        <f t="shared" si="0"/>
        <v>48.03</v>
      </c>
      <c r="E9" s="69">
        <f t="shared" si="1"/>
        <v>48.51322095434594</v>
      </c>
      <c r="F9" s="22">
        <f t="shared" si="2"/>
        <v>5</v>
      </c>
      <c r="G9" s="59"/>
      <c r="H9" s="92"/>
      <c r="I9" s="31"/>
      <c r="J9" s="32"/>
      <c r="K9" s="22"/>
      <c r="L9" s="7"/>
    </row>
    <row r="10" spans="1:12" ht="15.75">
      <c r="A10" s="194" t="s">
        <v>114</v>
      </c>
      <c r="B10" s="155">
        <v>48.16</v>
      </c>
      <c r="C10" s="155">
        <v>48.67</v>
      </c>
      <c r="D10" s="148">
        <f t="shared" si="0"/>
        <v>48.16</v>
      </c>
      <c r="E10" s="69">
        <f t="shared" si="1"/>
        <v>47.290129773685756</v>
      </c>
      <c r="F10" s="22">
        <f t="shared" si="2"/>
        <v>6</v>
      </c>
      <c r="G10" s="59"/>
      <c r="H10" s="59"/>
      <c r="I10" s="31"/>
      <c r="J10" s="32"/>
      <c r="K10" s="22"/>
      <c r="L10" s="7"/>
    </row>
    <row r="11" spans="1:12" ht="15.75">
      <c r="A11" s="194" t="s">
        <v>115</v>
      </c>
      <c r="B11" s="155">
        <v>46.5</v>
      </c>
      <c r="C11" s="155">
        <v>54.12</v>
      </c>
      <c r="D11" s="148">
        <f t="shared" si="0"/>
        <v>46.5</v>
      </c>
      <c r="E11" s="69">
        <f t="shared" si="1"/>
        <v>63.687696741703185</v>
      </c>
      <c r="F11" s="22">
        <f t="shared" si="2"/>
        <v>2</v>
      </c>
      <c r="G11" s="59"/>
      <c r="H11" s="59"/>
      <c r="I11" s="31"/>
      <c r="J11" s="32"/>
      <c r="K11" s="22"/>
      <c r="L11" s="7"/>
    </row>
    <row r="12" spans="1:12" ht="15.75">
      <c r="A12" s="194" t="s">
        <v>116</v>
      </c>
      <c r="B12" s="155">
        <v>45.45</v>
      </c>
      <c r="C12" s="155">
        <v>46.08</v>
      </c>
      <c r="D12" s="148">
        <f t="shared" si="0"/>
        <v>45.45</v>
      </c>
      <c r="E12" s="69">
        <f t="shared" si="1"/>
        <v>75</v>
      </c>
      <c r="F12" s="22">
        <f t="shared" si="2"/>
        <v>1</v>
      </c>
      <c r="G12" s="59"/>
      <c r="H12" s="59"/>
      <c r="I12" s="31"/>
      <c r="J12" s="32"/>
      <c r="K12" s="22"/>
      <c r="L12" s="7"/>
    </row>
    <row r="13" spans="1:12" ht="31.5">
      <c r="A13" s="194" t="s">
        <v>117</v>
      </c>
      <c r="B13" s="155">
        <v>50.61</v>
      </c>
      <c r="C13" s="155">
        <v>48.9</v>
      </c>
      <c r="D13" s="148">
        <f t="shared" si="0"/>
        <v>48.9</v>
      </c>
      <c r="E13" s="69">
        <f t="shared" si="1"/>
        <v>40.51270010752809</v>
      </c>
      <c r="F13" s="22">
        <f t="shared" si="2"/>
        <v>8</v>
      </c>
      <c r="G13" s="59"/>
      <c r="H13" s="59"/>
      <c r="I13" s="31"/>
      <c r="J13" s="32"/>
      <c r="K13" s="22"/>
      <c r="L13" s="7"/>
    </row>
    <row r="14" spans="1:12" ht="15.75">
      <c r="A14" s="194" t="s">
        <v>118</v>
      </c>
      <c r="B14" s="155">
        <v>54.17</v>
      </c>
      <c r="C14" s="155">
        <v>55.58</v>
      </c>
      <c r="D14" s="148">
        <f t="shared" si="0"/>
        <v>54.17</v>
      </c>
      <c r="E14" s="69">
        <f t="shared" si="1"/>
        <v>0</v>
      </c>
      <c r="F14" s="22">
        <f t="shared" si="2"/>
        <v>12</v>
      </c>
      <c r="G14" s="59"/>
      <c r="H14" s="59"/>
      <c r="I14" s="31"/>
      <c r="J14" s="32"/>
      <c r="K14" s="22"/>
      <c r="L14" s="7"/>
    </row>
    <row r="15" spans="1:12" ht="15.75">
      <c r="A15" s="194" t="s">
        <v>119</v>
      </c>
      <c r="B15" s="155">
        <v>51.74</v>
      </c>
      <c r="C15" s="155">
        <v>50.21</v>
      </c>
      <c r="D15" s="148">
        <f t="shared" si="0"/>
        <v>50.21</v>
      </c>
      <c r="E15" s="69">
        <f t="shared" si="1"/>
        <v>29.241392609334714</v>
      </c>
      <c r="F15" s="22">
        <f t="shared" si="2"/>
        <v>10</v>
      </c>
      <c r="G15" s="59"/>
      <c r="H15" s="59"/>
      <c r="I15" s="31"/>
      <c r="J15" s="32"/>
      <c r="K15" s="22"/>
      <c r="L15" s="7"/>
    </row>
    <row r="16" spans="1:12" ht="15.75">
      <c r="A16" s="194" t="s">
        <v>120</v>
      </c>
      <c r="B16" s="155">
        <v>49.9</v>
      </c>
      <c r="C16" s="155">
        <v>47.876</v>
      </c>
      <c r="D16" s="148">
        <f t="shared" si="0"/>
        <v>47.876</v>
      </c>
      <c r="E16" s="69">
        <f t="shared" si="1"/>
        <v>49.97502546057479</v>
      </c>
      <c r="F16" s="22">
        <f t="shared" si="2"/>
        <v>4</v>
      </c>
      <c r="G16" s="59"/>
      <c r="H16" s="59"/>
      <c r="I16" s="31"/>
      <c r="J16" s="32"/>
      <c r="K16" s="22"/>
      <c r="L16" s="7"/>
    </row>
    <row r="17" spans="1:12" ht="15.75">
      <c r="A17" s="194" t="s">
        <v>121</v>
      </c>
      <c r="B17" s="155">
        <v>49.43</v>
      </c>
      <c r="C17" s="155">
        <v>46.58</v>
      </c>
      <c r="D17" s="148">
        <f t="shared" si="0"/>
        <v>46.58</v>
      </c>
      <c r="E17" s="69">
        <f t="shared" si="1"/>
        <v>62.857033151548876</v>
      </c>
      <c r="F17" s="22">
        <f t="shared" si="2"/>
        <v>3</v>
      </c>
      <c r="G17" s="59"/>
      <c r="H17" s="59"/>
      <c r="I17" s="31"/>
      <c r="J17" s="32"/>
      <c r="K17" s="22"/>
      <c r="L17" s="7"/>
    </row>
    <row r="18" spans="1:12" ht="15.75">
      <c r="A18" s="194" t="s">
        <v>122</v>
      </c>
      <c r="B18" s="155"/>
      <c r="C18" s="155"/>
      <c r="D18" s="148"/>
      <c r="E18" s="69"/>
      <c r="F18" s="22">
        <v>13</v>
      </c>
      <c r="G18" s="29"/>
      <c r="H18" s="29"/>
      <c r="I18" s="29"/>
      <c r="J18" s="7"/>
      <c r="K18" s="7"/>
      <c r="L18" s="7"/>
    </row>
    <row r="19" spans="1:12" ht="12.75">
      <c r="A19" s="29"/>
      <c r="B19" s="148"/>
      <c r="C19" s="148"/>
      <c r="D19" s="148"/>
      <c r="E19" s="69"/>
      <c r="F19" s="22"/>
      <c r="G19" s="7"/>
      <c r="H19" s="7"/>
      <c r="I19" s="7"/>
      <c r="J19" s="7"/>
      <c r="K19" s="7"/>
      <c r="L19" s="7"/>
    </row>
    <row r="20" spans="1:12" ht="12.75">
      <c r="A20" s="7" t="s">
        <v>243</v>
      </c>
      <c r="B20" s="58">
        <v>14.84</v>
      </c>
      <c r="C20" s="58"/>
      <c r="D20" s="7">
        <v>14.84</v>
      </c>
      <c r="E20" s="7"/>
      <c r="F20" s="7"/>
      <c r="G20" s="7"/>
      <c r="H20" s="7"/>
      <c r="I20" s="7"/>
      <c r="J20" s="7"/>
      <c r="K20" s="7"/>
      <c r="L20" s="7"/>
    </row>
    <row r="21" spans="2:3" ht="12.75">
      <c r="B21" s="1"/>
      <c r="C21" s="1"/>
    </row>
    <row r="24" ht="12.75">
      <c r="B24" s="204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0" zoomScaleNormal="90" workbookViewId="0" topLeftCell="A1">
      <selection activeCell="I9" sqref="I9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5" width="14.00390625" style="0" customWidth="1"/>
    <col min="6" max="6" width="18.7109375" style="0" customWidth="1"/>
    <col min="7" max="7" width="16.140625" style="0" customWidth="1"/>
    <col min="8" max="8" width="14.421875" style="0" customWidth="1"/>
    <col min="9" max="9" width="18.00390625" style="0" customWidth="1"/>
    <col min="10" max="10" width="38.7109375" style="0" customWidth="1"/>
  </cols>
  <sheetData>
    <row r="1" spans="1:10" ht="18.75">
      <c r="A1" s="9" t="s">
        <v>136</v>
      </c>
      <c r="B1" s="9"/>
      <c r="C1" s="7"/>
      <c r="D1" s="7"/>
      <c r="E1" s="7"/>
      <c r="F1" s="7"/>
      <c r="G1" s="7"/>
      <c r="H1" s="7"/>
      <c r="I1" s="7"/>
      <c r="J1" s="7"/>
    </row>
    <row r="2" spans="1:10" ht="12.75">
      <c r="A2" s="29"/>
      <c r="B2" s="29"/>
      <c r="C2" s="29"/>
      <c r="D2" s="29"/>
      <c r="E2" s="29"/>
      <c r="F2" s="29"/>
      <c r="G2" s="29"/>
      <c r="H2" s="29"/>
      <c r="I2" s="7"/>
      <c r="J2" s="7"/>
    </row>
    <row r="3" spans="1:10" ht="38.25">
      <c r="A3" s="29"/>
      <c r="B3" s="28" t="s">
        <v>66</v>
      </c>
      <c r="C3" s="28" t="s">
        <v>8</v>
      </c>
      <c r="D3" s="28" t="s">
        <v>92</v>
      </c>
      <c r="E3" s="44" t="s">
        <v>187</v>
      </c>
      <c r="F3" s="28" t="s">
        <v>9</v>
      </c>
      <c r="G3" s="28" t="s">
        <v>10</v>
      </c>
      <c r="H3" s="44" t="s">
        <v>244</v>
      </c>
      <c r="I3" s="6" t="s">
        <v>16</v>
      </c>
      <c r="J3" s="28" t="s">
        <v>178</v>
      </c>
    </row>
    <row r="4" spans="1:10" ht="15.75">
      <c r="A4" s="194" t="s">
        <v>110</v>
      </c>
      <c r="B4" s="157"/>
      <c r="C4" s="67">
        <v>0</v>
      </c>
      <c r="D4" s="67">
        <v>0</v>
      </c>
      <c r="E4" s="67"/>
      <c r="F4" s="67"/>
      <c r="G4" s="67"/>
      <c r="H4" s="67"/>
      <c r="I4" s="66">
        <f>SUM(B4:H4)</f>
        <v>0</v>
      </c>
      <c r="J4" s="7"/>
    </row>
    <row r="5" spans="1:10" ht="15.75">
      <c r="A5" s="194" t="s">
        <v>111</v>
      </c>
      <c r="B5" s="157"/>
      <c r="C5" s="67">
        <v>0</v>
      </c>
      <c r="D5" s="67">
        <v>0</v>
      </c>
      <c r="E5" s="67"/>
      <c r="F5" s="67"/>
      <c r="G5" s="67"/>
      <c r="H5" s="67"/>
      <c r="I5" s="66">
        <f aca="true" t="shared" si="0" ref="I5:I15">SUM(B5:H5)</f>
        <v>0</v>
      </c>
      <c r="J5" s="7"/>
    </row>
    <row r="6" spans="1:10" ht="15.75">
      <c r="A6" s="194" t="s">
        <v>112</v>
      </c>
      <c r="B6" s="157"/>
      <c r="C6" s="67">
        <v>0</v>
      </c>
      <c r="D6" s="67">
        <v>0</v>
      </c>
      <c r="E6" s="67"/>
      <c r="F6" s="67"/>
      <c r="G6" s="67"/>
      <c r="H6" s="67">
        <v>-25</v>
      </c>
      <c r="I6" s="66">
        <f t="shared" si="0"/>
        <v>-25</v>
      </c>
      <c r="J6" s="7"/>
    </row>
    <row r="7" spans="1:10" ht="15.75">
      <c r="A7" s="194" t="s">
        <v>113</v>
      </c>
      <c r="B7" s="157"/>
      <c r="C7" s="67">
        <v>0</v>
      </c>
      <c r="D7" s="67">
        <v>0</v>
      </c>
      <c r="E7" s="67"/>
      <c r="F7" s="67"/>
      <c r="G7" s="67"/>
      <c r="H7" s="67"/>
      <c r="I7" s="66">
        <f t="shared" si="0"/>
        <v>0</v>
      </c>
      <c r="J7" s="7"/>
    </row>
    <row r="8" spans="1:10" ht="15.75">
      <c r="A8" s="194" t="s">
        <v>114</v>
      </c>
      <c r="B8" s="157"/>
      <c r="C8" s="67">
        <v>0</v>
      </c>
      <c r="D8" s="67">
        <v>0</v>
      </c>
      <c r="E8" s="67"/>
      <c r="F8" s="67"/>
      <c r="G8" s="67"/>
      <c r="H8" s="67"/>
      <c r="I8" s="66">
        <f t="shared" si="0"/>
        <v>0</v>
      </c>
      <c r="J8" s="7"/>
    </row>
    <row r="9" spans="1:10" ht="15.75">
      <c r="A9" s="194" t="s">
        <v>115</v>
      </c>
      <c r="B9" s="157"/>
      <c r="C9" s="67">
        <v>0</v>
      </c>
      <c r="D9" s="67">
        <v>0</v>
      </c>
      <c r="E9" s="67">
        <v>-100</v>
      </c>
      <c r="F9" s="67"/>
      <c r="G9" s="67"/>
      <c r="H9" s="67"/>
      <c r="I9" s="66">
        <f t="shared" si="0"/>
        <v>-100</v>
      </c>
      <c r="J9" s="7"/>
    </row>
    <row r="10" spans="1:10" ht="15.75">
      <c r="A10" s="194" t="s">
        <v>116</v>
      </c>
      <c r="B10" s="157"/>
      <c r="C10" s="205">
        <v>0</v>
      </c>
      <c r="D10" s="186"/>
      <c r="E10" s="67"/>
      <c r="F10" s="67"/>
      <c r="G10" s="67"/>
      <c r="H10" s="67"/>
      <c r="I10" s="66">
        <f t="shared" si="0"/>
        <v>0</v>
      </c>
      <c r="J10" s="7"/>
    </row>
    <row r="11" spans="1:10" ht="31.5">
      <c r="A11" s="194" t="s">
        <v>117</v>
      </c>
      <c r="B11" s="157"/>
      <c r="C11" s="67">
        <v>0</v>
      </c>
      <c r="D11" s="67">
        <v>0</v>
      </c>
      <c r="E11" s="67"/>
      <c r="F11" s="67"/>
      <c r="G11" s="67"/>
      <c r="H11" s="67">
        <v>-25</v>
      </c>
      <c r="I11" s="66">
        <f t="shared" si="0"/>
        <v>-25</v>
      </c>
      <c r="J11" s="7"/>
    </row>
    <row r="12" spans="1:10" ht="15.75">
      <c r="A12" s="194" t="s">
        <v>118</v>
      </c>
      <c r="B12" s="157"/>
      <c r="C12" s="67">
        <v>0</v>
      </c>
      <c r="D12" s="67">
        <v>0</v>
      </c>
      <c r="E12" s="67"/>
      <c r="F12" s="67"/>
      <c r="G12" s="67"/>
      <c r="H12" s="67"/>
      <c r="I12" s="66">
        <f t="shared" si="0"/>
        <v>0</v>
      </c>
      <c r="J12" s="7"/>
    </row>
    <row r="13" spans="1:10" ht="15.75">
      <c r="A13" s="194" t="s">
        <v>119</v>
      </c>
      <c r="B13" s="157"/>
      <c r="C13" s="67">
        <v>0</v>
      </c>
      <c r="D13" s="67">
        <v>0</v>
      </c>
      <c r="E13" s="67"/>
      <c r="F13" s="67"/>
      <c r="G13" s="67"/>
      <c r="H13" s="67"/>
      <c r="I13" s="66">
        <f t="shared" si="0"/>
        <v>0</v>
      </c>
      <c r="J13" s="7"/>
    </row>
    <row r="14" spans="1:10" ht="15.75">
      <c r="A14" s="194" t="s">
        <v>120</v>
      </c>
      <c r="B14" s="157"/>
      <c r="C14" s="67">
        <v>0</v>
      </c>
      <c r="D14" s="67">
        <v>0</v>
      </c>
      <c r="E14" s="186"/>
      <c r="F14" s="67"/>
      <c r="G14" s="67"/>
      <c r="H14" s="67"/>
      <c r="I14" s="66">
        <f t="shared" si="0"/>
        <v>0</v>
      </c>
      <c r="J14" s="7"/>
    </row>
    <row r="15" spans="1:10" ht="15.75">
      <c r="A15" s="194" t="s">
        <v>121</v>
      </c>
      <c r="B15" s="157"/>
      <c r="C15" s="67">
        <v>0</v>
      </c>
      <c r="D15" s="67">
        <v>0</v>
      </c>
      <c r="E15" s="67"/>
      <c r="F15" s="67"/>
      <c r="G15" s="67"/>
      <c r="H15" s="67">
        <v>-25</v>
      </c>
      <c r="I15" s="66">
        <f t="shared" si="0"/>
        <v>-25</v>
      </c>
      <c r="J15" s="7"/>
    </row>
    <row r="16" spans="1:10" ht="15.75">
      <c r="A16" s="194" t="s">
        <v>122</v>
      </c>
      <c r="B16" s="157"/>
      <c r="C16" s="67">
        <v>0</v>
      </c>
      <c r="D16" s="67">
        <v>0</v>
      </c>
      <c r="E16" s="67">
        <v>-100</v>
      </c>
      <c r="F16" s="67"/>
      <c r="G16" s="67"/>
      <c r="H16" s="67"/>
      <c r="I16" s="66">
        <f>SUM(B16:H16)</f>
        <v>-100</v>
      </c>
      <c r="J16" s="7"/>
    </row>
    <row r="17" spans="1:10" ht="12.75">
      <c r="A17" s="27"/>
      <c r="B17" s="27"/>
      <c r="C17" s="56"/>
      <c r="D17" s="56"/>
      <c r="E17" s="56"/>
      <c r="F17" s="45"/>
      <c r="G17" s="59"/>
      <c r="H17" s="29"/>
      <c r="I17" s="7"/>
      <c r="J17" s="7"/>
    </row>
    <row r="18" spans="1:10" ht="15">
      <c r="A18" s="27"/>
      <c r="B18" s="27"/>
      <c r="C18" s="56"/>
      <c r="D18" s="56"/>
      <c r="E18" s="56"/>
      <c r="F18" s="45"/>
      <c r="G18" s="59"/>
      <c r="H18" s="34"/>
      <c r="I18" s="7"/>
      <c r="J18" s="7"/>
    </row>
    <row r="19" spans="1:10" ht="15">
      <c r="A19" s="27"/>
      <c r="B19" s="27"/>
      <c r="C19" s="56"/>
      <c r="D19" s="56"/>
      <c r="E19" s="56"/>
      <c r="F19" s="45"/>
      <c r="G19" s="59"/>
      <c r="H19" s="34"/>
      <c r="I19" s="7"/>
      <c r="J19" s="7"/>
    </row>
    <row r="20" spans="1:10" ht="15">
      <c r="A20" s="27"/>
      <c r="B20" s="27"/>
      <c r="C20" s="56"/>
      <c r="D20" s="56"/>
      <c r="E20" s="56"/>
      <c r="F20" s="45"/>
      <c r="G20" s="59"/>
      <c r="H20" s="34"/>
      <c r="I20" s="7"/>
      <c r="J20" s="7"/>
    </row>
    <row r="21" spans="1:10" ht="15">
      <c r="A21" s="27"/>
      <c r="B21" s="27"/>
      <c r="C21" s="56"/>
      <c r="D21" s="56"/>
      <c r="E21" s="56"/>
      <c r="F21" s="45"/>
      <c r="G21" s="59"/>
      <c r="H21" s="34"/>
      <c r="I21" s="7"/>
      <c r="J21" s="7"/>
    </row>
    <row r="22" spans="1:10" ht="15">
      <c r="A22" s="27"/>
      <c r="B22" s="27"/>
      <c r="C22" s="56"/>
      <c r="D22" s="56"/>
      <c r="E22" s="56"/>
      <c r="F22" s="45"/>
      <c r="G22" s="59"/>
      <c r="H22" s="34"/>
      <c r="I22" s="7"/>
      <c r="J22" s="7"/>
    </row>
    <row r="23" spans="1:10" ht="15">
      <c r="A23" s="27"/>
      <c r="B23" s="27"/>
      <c r="C23" s="56"/>
      <c r="D23" s="56"/>
      <c r="E23" s="56"/>
      <c r="F23" s="45"/>
      <c r="G23" s="59"/>
      <c r="H23" s="34"/>
      <c r="I23" s="7"/>
      <c r="J23" s="7"/>
    </row>
    <row r="24" spans="1:10" ht="15">
      <c r="A24" s="27"/>
      <c r="B24" s="27"/>
      <c r="C24" s="56"/>
      <c r="D24" s="56"/>
      <c r="E24" s="56"/>
      <c r="F24" s="45"/>
      <c r="G24" s="59"/>
      <c r="H24" s="34"/>
      <c r="I24" s="7"/>
      <c r="J24" s="7"/>
    </row>
    <row r="25" spans="1:10" ht="15">
      <c r="A25" s="27"/>
      <c r="B25" s="27"/>
      <c r="C25" s="56"/>
      <c r="D25" s="56"/>
      <c r="E25" s="56"/>
      <c r="F25" s="45"/>
      <c r="G25" s="59"/>
      <c r="H25" s="34"/>
      <c r="I25" s="7"/>
      <c r="J25" s="7"/>
    </row>
    <row r="26" spans="1:10" ht="15">
      <c r="A26" s="27"/>
      <c r="B26" s="27"/>
      <c r="C26" s="56"/>
      <c r="D26" s="56"/>
      <c r="E26" s="56"/>
      <c r="F26" s="45"/>
      <c r="G26" s="59"/>
      <c r="H26" s="34"/>
      <c r="I26" s="7"/>
      <c r="J26" s="7"/>
    </row>
    <row r="27" spans="1:10" ht="15">
      <c r="A27" s="27"/>
      <c r="B27" s="27"/>
      <c r="C27" s="56"/>
      <c r="D27" s="56"/>
      <c r="E27" s="56"/>
      <c r="F27" s="45"/>
      <c r="G27" s="59"/>
      <c r="H27" s="34"/>
      <c r="I27" s="7"/>
      <c r="J27" s="7"/>
    </row>
    <row r="28" spans="1:10" ht="12.75">
      <c r="A28" s="27"/>
      <c r="B28" s="27"/>
      <c r="C28" s="56"/>
      <c r="D28" s="56"/>
      <c r="E28" s="56"/>
      <c r="F28" s="45"/>
      <c r="G28" s="59"/>
      <c r="H28" s="29"/>
      <c r="I28" s="7"/>
      <c r="J28" s="7"/>
    </row>
    <row r="29" spans="1:10" ht="15">
      <c r="A29" s="27"/>
      <c r="B29" s="27"/>
      <c r="C29" s="56"/>
      <c r="D29" s="56"/>
      <c r="E29" s="56"/>
      <c r="F29" s="45"/>
      <c r="G29" s="59"/>
      <c r="H29" s="34"/>
      <c r="I29" s="7"/>
      <c r="J29" s="7"/>
    </row>
    <row r="30" spans="1:8" ht="12.75">
      <c r="A30" s="27"/>
      <c r="B30" s="27"/>
      <c r="C30" s="57"/>
      <c r="D30" s="57"/>
      <c r="E30" s="57"/>
      <c r="F30" s="45"/>
      <c r="G30" s="59"/>
      <c r="H30" s="1"/>
    </row>
    <row r="31" spans="1:8" ht="12.75">
      <c r="A31" s="1"/>
      <c r="B31" s="1"/>
      <c r="C31" s="1"/>
      <c r="D31" s="1"/>
      <c r="E31" s="1"/>
      <c r="F31" s="29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</sheetData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80" zoomScaleNormal="80" workbookViewId="0" topLeftCell="A7">
      <selection activeCell="B57" sqref="B57"/>
    </sheetView>
  </sheetViews>
  <sheetFormatPr defaultColWidth="9.140625" defaultRowHeight="12.75"/>
  <cols>
    <col min="1" max="1" width="44.421875" style="0" customWidth="1"/>
    <col min="2" max="2" width="14.7109375" style="0" customWidth="1"/>
    <col min="3" max="3" width="11.8515625" style="0" customWidth="1"/>
    <col min="4" max="4" width="10.57421875" style="0" customWidth="1"/>
    <col min="5" max="5" width="12.8515625" style="0" customWidth="1"/>
    <col min="6" max="6" width="12.421875" style="0" customWidth="1"/>
    <col min="8" max="8" width="11.57421875" style="0" customWidth="1"/>
    <col min="9" max="9" width="15.28125" style="0" customWidth="1"/>
    <col min="10" max="10" width="17.28125" style="0" customWidth="1"/>
    <col min="11" max="11" width="12.8515625" style="0" customWidth="1"/>
    <col min="12" max="12" width="9.28125" style="0" customWidth="1"/>
    <col min="13" max="13" width="12.57421875" style="0" customWidth="1"/>
    <col min="14" max="14" width="11.140625" style="0" customWidth="1"/>
    <col min="15" max="15" width="11.8515625" style="4" customWidth="1"/>
    <col min="16" max="16" width="10.28125" style="0" customWidth="1"/>
    <col min="17" max="17" width="13.28125" style="0" customWidth="1"/>
  </cols>
  <sheetData>
    <row r="1" spans="1:16" ht="18.75">
      <c r="A1" s="9" t="s">
        <v>123</v>
      </c>
      <c r="B1" s="7"/>
      <c r="C1" s="7"/>
      <c r="D1" s="7"/>
      <c r="E1" s="7"/>
      <c r="F1" s="7"/>
      <c r="G1" s="43"/>
      <c r="H1" s="7"/>
      <c r="I1" s="7"/>
      <c r="J1" s="7"/>
      <c r="K1" s="7"/>
      <c r="L1" s="7"/>
      <c r="M1" s="7"/>
      <c r="N1" s="7"/>
      <c r="O1" s="22"/>
      <c r="P1" s="7"/>
    </row>
    <row r="2" spans="1:17" ht="12.75">
      <c r="A2" s="7"/>
      <c r="B2" s="6" t="s">
        <v>23</v>
      </c>
      <c r="C2" s="6" t="s">
        <v>6</v>
      </c>
      <c r="D2" s="7"/>
      <c r="E2" s="12" t="s">
        <v>90</v>
      </c>
      <c r="F2" s="6" t="s">
        <v>71</v>
      </c>
      <c r="G2" s="43"/>
      <c r="H2" s="7"/>
      <c r="I2" s="7"/>
      <c r="J2" s="12" t="s">
        <v>95</v>
      </c>
      <c r="K2" s="7"/>
      <c r="L2" s="6" t="s">
        <v>73</v>
      </c>
      <c r="M2" s="12" t="s">
        <v>88</v>
      </c>
      <c r="N2" s="7"/>
      <c r="O2" s="6" t="s">
        <v>108</v>
      </c>
      <c r="P2" s="193"/>
      <c r="Q2" s="30"/>
    </row>
    <row r="3" spans="1:20" ht="12.75">
      <c r="A3" s="7"/>
      <c r="B3" s="6" t="s">
        <v>7</v>
      </c>
      <c r="C3" s="6" t="s">
        <v>89</v>
      </c>
      <c r="D3" s="6" t="s">
        <v>39</v>
      </c>
      <c r="E3" s="6" t="s">
        <v>4</v>
      </c>
      <c r="F3" s="41" t="s">
        <v>72</v>
      </c>
      <c r="G3" s="6" t="s">
        <v>5</v>
      </c>
      <c r="H3" s="6" t="s">
        <v>51</v>
      </c>
      <c r="I3" s="3" t="s">
        <v>52</v>
      </c>
      <c r="J3" s="3" t="s">
        <v>87</v>
      </c>
      <c r="K3" s="6" t="s">
        <v>3</v>
      </c>
      <c r="L3" s="6" t="s">
        <v>74</v>
      </c>
      <c r="M3" s="6" t="s">
        <v>4</v>
      </c>
      <c r="N3" s="6" t="s">
        <v>2</v>
      </c>
      <c r="O3" s="6" t="s">
        <v>109</v>
      </c>
      <c r="T3" s="6"/>
    </row>
    <row r="4" spans="1:20" ht="15.75">
      <c r="A4" s="194" t="s">
        <v>110</v>
      </c>
      <c r="B4" s="60">
        <f>Paper!W4</f>
        <v>63.625</v>
      </c>
      <c r="C4" s="60">
        <f>Static!AA5</f>
        <v>25.75</v>
      </c>
      <c r="D4" s="60">
        <f>Cost!C7</f>
        <v>31.081222259711488</v>
      </c>
      <c r="E4" s="60">
        <f>'Subjective Handling'!N4</f>
        <v>34.55555555555556</v>
      </c>
      <c r="F4" s="60">
        <f>'Fuel Economy '!F15</f>
        <v>0</v>
      </c>
      <c r="G4" s="60">
        <f>Oral!T4</f>
        <v>39.2</v>
      </c>
      <c r="H4" s="71">
        <f>Noise!G5</f>
        <v>175</v>
      </c>
      <c r="I4" s="73">
        <f>Acceleration!E5</f>
        <v>75.5243608393081</v>
      </c>
      <c r="J4" s="73">
        <f>'Shock Input_Rider Comfort'!D6</f>
        <v>23.476538695917117</v>
      </c>
      <c r="K4" s="60">
        <f>Emissions!H6</f>
        <v>284</v>
      </c>
      <c r="L4" s="60">
        <f>'Cold Start'!C4</f>
        <v>0</v>
      </c>
      <c r="M4" s="60">
        <f>'Objective Handling'!E6</f>
        <v>25.40894689272487</v>
      </c>
      <c r="N4" s="60">
        <f>Penalties!I4</f>
        <v>0</v>
      </c>
      <c r="O4" s="190">
        <v>10</v>
      </c>
      <c r="T4" s="71"/>
    </row>
    <row r="5" spans="1:20" ht="15.75">
      <c r="A5" s="194" t="s">
        <v>111</v>
      </c>
      <c r="B5" s="60">
        <f>Paper!W5</f>
        <v>73.75</v>
      </c>
      <c r="C5" s="60">
        <f>Static!AA6</f>
        <v>32.94444444444444</v>
      </c>
      <c r="D5" s="60">
        <f>Cost!C8</f>
        <v>14.754779509008834</v>
      </c>
      <c r="E5" s="60">
        <f>'Subjective Handling'!N5</f>
        <v>37.625</v>
      </c>
      <c r="F5" s="60">
        <f>'Fuel Economy '!F6</f>
        <v>140.6960706561971</v>
      </c>
      <c r="G5" s="60">
        <f>Oral!T5</f>
        <v>58.833333333333336</v>
      </c>
      <c r="H5" s="71">
        <f>Noise!G6</f>
        <v>300</v>
      </c>
      <c r="I5" s="73">
        <f>Acceleration!E6</f>
        <v>85.30394267482475</v>
      </c>
      <c r="J5" s="73">
        <f>'Shock Input_Rider Comfort'!D7</f>
        <v>11.243144424131627</v>
      </c>
      <c r="K5" s="60">
        <f>Emissions!H7</f>
        <v>171</v>
      </c>
      <c r="L5" s="60">
        <f>'Cold Start'!C5</f>
        <v>50</v>
      </c>
      <c r="M5" s="60">
        <f>'Objective Handling'!E7</f>
        <v>32.58886499199345</v>
      </c>
      <c r="N5" s="60">
        <f>Penalties!I5</f>
        <v>0</v>
      </c>
      <c r="O5" s="190">
        <v>10</v>
      </c>
      <c r="T5" s="71"/>
    </row>
    <row r="6" spans="1:20" ht="15.75">
      <c r="A6" s="194" t="s">
        <v>112</v>
      </c>
      <c r="B6" s="60">
        <f>Paper!W6</f>
        <v>88</v>
      </c>
      <c r="C6" s="60">
        <f>Static!AA7</f>
        <v>37.5</v>
      </c>
      <c r="D6" s="60">
        <f>Cost!C9</f>
        <v>33.49189704696782</v>
      </c>
      <c r="E6" s="60">
        <f>'Subjective Handling'!N6</f>
        <v>38.94444444444444</v>
      </c>
      <c r="F6" s="60">
        <f>'Fuel Economy '!F7</f>
        <v>156.21226523596738</v>
      </c>
      <c r="G6" s="60">
        <f>Oral!T6</f>
        <v>68.79411764705883</v>
      </c>
      <c r="H6" s="71">
        <f>Noise!G7</f>
        <v>253</v>
      </c>
      <c r="I6" s="73">
        <f>Acceleration!E7</f>
        <v>72.79790536415621</v>
      </c>
      <c r="J6" s="73">
        <f>'Shock Input_Rider Comfort'!D8</f>
        <v>31.398537477148075</v>
      </c>
      <c r="K6" s="60">
        <f>Emissions!H8</f>
        <v>300</v>
      </c>
      <c r="L6" s="60">
        <f>'Cold Start'!C6</f>
        <v>0</v>
      </c>
      <c r="M6" s="60">
        <f>'Objective Handling'!E8</f>
        <v>42.31400761888498</v>
      </c>
      <c r="N6" s="60">
        <f>Penalties!I6</f>
        <v>-25</v>
      </c>
      <c r="O6" s="190">
        <v>10</v>
      </c>
      <c r="T6" s="71"/>
    </row>
    <row r="7" spans="1:20" ht="15.75">
      <c r="A7" s="194" t="s">
        <v>113</v>
      </c>
      <c r="B7" s="60">
        <f>Paper!W7</f>
        <v>65.25</v>
      </c>
      <c r="C7" s="60">
        <f>Static!AA8</f>
        <v>35.833333333333336</v>
      </c>
      <c r="D7" s="60">
        <f>Cost!C10</f>
        <v>31.52858551932792</v>
      </c>
      <c r="E7" s="60">
        <f>'Subjective Handling'!N7</f>
        <v>34.357142857142854</v>
      </c>
      <c r="F7" s="60">
        <f>'Fuel Economy '!F16</f>
        <v>0</v>
      </c>
      <c r="G7" s="60">
        <f>Oral!T7</f>
        <v>46.14705882352941</v>
      </c>
      <c r="H7" s="71">
        <f>Noise!G8</f>
        <v>283</v>
      </c>
      <c r="I7" s="73">
        <f>Acceleration!E8</f>
        <v>66.1033088996204</v>
      </c>
      <c r="J7" s="73">
        <f>'Shock Input_Rider Comfort'!D9</f>
        <v>37.3933577087142</v>
      </c>
      <c r="K7" s="60">
        <f>Emissions!H9</f>
        <v>296</v>
      </c>
      <c r="L7" s="60">
        <f>'Cold Start'!C7</f>
        <v>50</v>
      </c>
      <c r="M7" s="60">
        <f>'Objective Handling'!E9</f>
        <v>48.51322095434594</v>
      </c>
      <c r="N7" s="60">
        <f>Penalties!I7</f>
        <v>0</v>
      </c>
      <c r="O7" s="190">
        <v>10</v>
      </c>
      <c r="T7" s="71"/>
    </row>
    <row r="8" spans="1:20" ht="15.75">
      <c r="A8" s="194" t="s">
        <v>114</v>
      </c>
      <c r="B8" s="60">
        <f>Paper!W8</f>
        <v>79.25</v>
      </c>
      <c r="C8" s="60">
        <f>Static!AA9</f>
        <v>39</v>
      </c>
      <c r="D8" s="60">
        <f>Cost!C11</f>
        <v>15.22886834140812</v>
      </c>
      <c r="E8" s="60">
        <f>'Subjective Handling'!N8</f>
        <v>42.27777777777778</v>
      </c>
      <c r="F8" s="60">
        <f>'Fuel Economy '!F8</f>
        <v>100</v>
      </c>
      <c r="G8" s="60">
        <f>Oral!T8</f>
        <v>58.588235294117645</v>
      </c>
      <c r="H8" s="71">
        <f>Noise!G9</f>
        <v>203</v>
      </c>
      <c r="I8" s="73">
        <f>Acceleration!E9</f>
        <v>89.90522764677216</v>
      </c>
      <c r="J8" s="73">
        <f>'Shock Input_Rider Comfort'!D10</f>
        <v>6.528031687995124</v>
      </c>
      <c r="K8" s="60">
        <f>Emissions!H10</f>
        <v>290</v>
      </c>
      <c r="L8" s="60">
        <f>'Cold Start'!C8</f>
        <v>50</v>
      </c>
      <c r="M8" s="60">
        <f>'Objective Handling'!E10</f>
        <v>47.290129773685756</v>
      </c>
      <c r="N8" s="60">
        <f>Penalties!I8</f>
        <v>0</v>
      </c>
      <c r="O8" s="190">
        <v>10</v>
      </c>
      <c r="T8" s="71"/>
    </row>
    <row r="9" spans="1:20" ht="15.75">
      <c r="A9" s="194" t="s">
        <v>115</v>
      </c>
      <c r="B9" s="60">
        <f>Paper!W9</f>
        <v>83</v>
      </c>
      <c r="C9" s="60">
        <f>Static!AA10</f>
        <v>39.75</v>
      </c>
      <c r="D9" s="60">
        <f>Cost!C12</f>
        <v>20.745364125077682</v>
      </c>
      <c r="E9" s="60">
        <f>'Subjective Handling'!N9</f>
        <v>34.95</v>
      </c>
      <c r="F9" s="60">
        <f>'Fuel Economy '!F9</f>
        <v>122.93968049304706</v>
      </c>
      <c r="G9" s="60">
        <f>Oral!T9</f>
        <v>72.32352941176471</v>
      </c>
      <c r="H9" s="71">
        <f>Noise!G10</f>
        <v>164</v>
      </c>
      <c r="I9" s="73">
        <f>Acceleration!E10</f>
        <v>79.68034584915111</v>
      </c>
      <c r="J9" s="73">
        <f>'Shock Input_Rider Comfort'!D11</f>
        <v>14.76234003656307</v>
      </c>
      <c r="K9" s="60">
        <f>Emissions!H11</f>
        <v>286</v>
      </c>
      <c r="L9" s="60">
        <f>'Cold Start'!C9</f>
        <v>0</v>
      </c>
      <c r="M9" s="60">
        <f>'Objective Handling'!E11</f>
        <v>63.687696741703185</v>
      </c>
      <c r="N9" s="60">
        <f>Penalties!I9</f>
        <v>-100</v>
      </c>
      <c r="O9" s="190">
        <v>10</v>
      </c>
      <c r="T9" s="71"/>
    </row>
    <row r="10" spans="1:20" ht="15.75">
      <c r="A10" s="194" t="s">
        <v>116</v>
      </c>
      <c r="B10" s="60">
        <f>Paper!W10</f>
        <v>71.55555555555556</v>
      </c>
      <c r="C10" s="60">
        <f>Static!AA11</f>
        <v>37.416666666666664</v>
      </c>
      <c r="D10" s="60">
        <f>Cost!C13</f>
        <v>50</v>
      </c>
      <c r="E10" s="60">
        <f>'Subjective Handling'!N10</f>
        <v>40.888888888888886</v>
      </c>
      <c r="F10" s="60">
        <f>'Fuel Economy '!F10</f>
        <v>200</v>
      </c>
      <c r="G10" s="60">
        <f>Oral!T10</f>
        <v>57.3235294117647</v>
      </c>
      <c r="H10" s="71">
        <f>Noise!G11</f>
        <v>0</v>
      </c>
      <c r="I10" s="73">
        <f>Acceleration!E11</f>
        <v>96.0506940147037</v>
      </c>
      <c r="J10" s="73">
        <f>'Shock Input_Rider Comfort'!D12</f>
        <v>0</v>
      </c>
      <c r="K10" s="60">
        <f>Emissions!H12</f>
        <v>100</v>
      </c>
      <c r="L10" s="60">
        <f>'Cold Start'!C10</f>
        <v>50</v>
      </c>
      <c r="M10" s="60">
        <f>'Objective Handling'!E12</f>
        <v>75</v>
      </c>
      <c r="N10" s="60">
        <f>Penalties!I10</f>
        <v>0</v>
      </c>
      <c r="O10" s="190">
        <v>10</v>
      </c>
      <c r="T10" s="71"/>
    </row>
    <row r="11" spans="1:20" ht="15.75">
      <c r="A11" s="194" t="s">
        <v>117</v>
      </c>
      <c r="B11" s="60">
        <f>Paper!W11</f>
        <v>65.75</v>
      </c>
      <c r="C11" s="60">
        <f>Static!AA12</f>
        <v>38.8</v>
      </c>
      <c r="D11" s="60">
        <f>Cost!C14</f>
        <v>21.065550276511974</v>
      </c>
      <c r="E11" s="60">
        <f>'Subjective Handling'!N11</f>
        <v>28.1875</v>
      </c>
      <c r="F11" s="60">
        <f>'Fuel Economy '!F14</f>
        <v>0</v>
      </c>
      <c r="G11" s="60">
        <f>Oral!T11</f>
        <v>49.46875</v>
      </c>
      <c r="H11" s="71">
        <f>Noise!G12</f>
        <v>0</v>
      </c>
      <c r="I11" s="73">
        <f>Acceleration!E12</f>
        <v>51.63669103368084</v>
      </c>
      <c r="J11" s="73">
        <f>'Shock Input_Rider Comfort'!D13</f>
        <v>14.929920780012187</v>
      </c>
      <c r="K11" s="60">
        <f>Emissions!H13</f>
        <v>0</v>
      </c>
      <c r="L11" s="60">
        <f>'Cold Start'!C11</f>
        <v>0</v>
      </c>
      <c r="M11" s="60">
        <f>'Objective Handling'!E13</f>
        <v>40.51270010752809</v>
      </c>
      <c r="N11" s="60">
        <f>Penalties!I11</f>
        <v>-25</v>
      </c>
      <c r="O11" s="190">
        <v>10</v>
      </c>
      <c r="T11" s="71"/>
    </row>
    <row r="12" spans="1:20" ht="15.75">
      <c r="A12" s="194" t="s">
        <v>118</v>
      </c>
      <c r="B12" s="60">
        <f>Paper!W12</f>
        <v>87.28571428571429</v>
      </c>
      <c r="C12" s="60">
        <f>Static!AA13</f>
        <v>41.333333333333336</v>
      </c>
      <c r="D12" s="60">
        <f>Cost!C15</f>
        <v>46.94335467222264</v>
      </c>
      <c r="E12" s="60">
        <f>'Subjective Handling'!N12</f>
        <v>36.666666666666664</v>
      </c>
      <c r="F12" s="60">
        <f>'Fuel Economy '!F11</f>
        <v>119.68470751503227</v>
      </c>
      <c r="G12" s="60">
        <f>Oral!T12</f>
        <v>73.70588235294117</v>
      </c>
      <c r="H12" s="71">
        <f>Noise!G13</f>
        <v>0</v>
      </c>
      <c r="I12" s="73">
        <f>Acceleration!E13</f>
        <v>53.34955907829465</v>
      </c>
      <c r="J12" s="73">
        <f>'Shock Input_Rider Comfort'!D14</f>
        <v>24.77909811090798</v>
      </c>
      <c r="K12" s="60">
        <f>Emissions!H14</f>
        <v>0</v>
      </c>
      <c r="L12" s="60">
        <f>'Cold Start'!C12</f>
        <v>0</v>
      </c>
      <c r="M12" s="60">
        <f>'Objective Handling'!E14</f>
        <v>0</v>
      </c>
      <c r="N12" s="60">
        <f>Penalties!I12</f>
        <v>0</v>
      </c>
      <c r="O12" s="190">
        <v>10</v>
      </c>
      <c r="T12" s="71"/>
    </row>
    <row r="13" spans="1:20" ht="15.75">
      <c r="A13" s="194" t="s">
        <v>119</v>
      </c>
      <c r="B13" s="60">
        <f>Paper!W13</f>
        <v>42</v>
      </c>
      <c r="C13" s="60">
        <f>Static!AA14</f>
        <v>27.833333333333332</v>
      </c>
      <c r="D13" s="60">
        <f>Cost!C16</f>
        <v>30.779712305389815</v>
      </c>
      <c r="E13" s="60">
        <f>'Subjective Handling'!N13</f>
        <v>34</v>
      </c>
      <c r="F13" s="60">
        <f>'Fuel Economy '!F17</f>
        <v>0</v>
      </c>
      <c r="G13" s="60">
        <f>Oral!T13</f>
        <v>52.529411764705884</v>
      </c>
      <c r="H13" s="71">
        <f>Noise!G14</f>
        <v>0</v>
      </c>
      <c r="I13" s="73">
        <f>Acceleration!E14</f>
        <v>72.04507336865221</v>
      </c>
      <c r="J13" s="73">
        <f>'Shock Input_Rider Comfort'!D15</f>
        <v>37.40097501523461</v>
      </c>
      <c r="K13" s="60">
        <f>Emissions!H15</f>
        <v>0</v>
      </c>
      <c r="L13" s="60">
        <f>'Cold Start'!C13</f>
        <v>50</v>
      </c>
      <c r="M13" s="60">
        <f>'Objective Handling'!E15</f>
        <v>29.241392609334714</v>
      </c>
      <c r="N13" s="60">
        <f>Penalties!I13</f>
        <v>0</v>
      </c>
      <c r="O13" s="190">
        <v>10</v>
      </c>
      <c r="T13" s="71"/>
    </row>
    <row r="14" spans="1:20" ht="15.75">
      <c r="A14" s="194" t="s">
        <v>120</v>
      </c>
      <c r="B14" s="60">
        <f>Paper!W14</f>
        <v>52.666666666666664</v>
      </c>
      <c r="C14" s="60">
        <f>Static!AA15</f>
        <v>27.142857142857142</v>
      </c>
      <c r="D14" s="60">
        <f>Cost!C17</f>
        <v>0</v>
      </c>
      <c r="E14" s="60">
        <f>'Subjective Handling'!N14</f>
        <v>37.05555555555556</v>
      </c>
      <c r="F14" s="60">
        <f>'Fuel Economy '!F12</f>
        <v>124.60209652642814</v>
      </c>
      <c r="G14" s="60">
        <f>Oral!T14</f>
        <v>40.861111111111114</v>
      </c>
      <c r="H14" s="71">
        <f>Noise!G15</f>
        <v>283</v>
      </c>
      <c r="I14" s="73">
        <f>Acceleration!E15</f>
        <v>100</v>
      </c>
      <c r="J14" s="73">
        <f>'Shock Input_Rider Comfort'!D16</f>
        <v>21.45795246800731</v>
      </c>
      <c r="K14" s="60">
        <f>Emissions!H16</f>
        <v>236</v>
      </c>
      <c r="L14" s="60">
        <f>'Cold Start'!C14</f>
        <v>50</v>
      </c>
      <c r="M14" s="60">
        <f>'Objective Handling'!E16</f>
        <v>49.97502546057479</v>
      </c>
      <c r="N14" s="60">
        <f>Penalties!I14</f>
        <v>0</v>
      </c>
      <c r="O14" s="190">
        <v>10</v>
      </c>
      <c r="T14" s="71"/>
    </row>
    <row r="15" spans="1:20" ht="15.75">
      <c r="A15" s="194" t="s">
        <v>121</v>
      </c>
      <c r="B15" s="60">
        <f>Paper!W15</f>
        <v>64.2</v>
      </c>
      <c r="C15" s="60">
        <f>Static!AA16</f>
        <v>22.166666666666668</v>
      </c>
      <c r="D15" s="60">
        <f>Cost!C18</f>
        <v>19.96201787652824</v>
      </c>
      <c r="E15" s="60">
        <f>'Subjective Handling'!N15</f>
        <v>42.1</v>
      </c>
      <c r="F15" s="60">
        <f>'Fuel Economy '!F13</f>
        <v>152.6832093455792</v>
      </c>
      <c r="G15" s="60">
        <f>Oral!T15</f>
        <v>41.75</v>
      </c>
      <c r="H15" s="71">
        <f>Noise!G16</f>
        <v>150</v>
      </c>
      <c r="I15" s="73">
        <f>Acceleration!E16</f>
        <v>80.62909850134487</v>
      </c>
      <c r="J15" s="73">
        <f>'Shock Input_Rider Comfort'!D17</f>
        <v>75</v>
      </c>
      <c r="K15" s="60">
        <f>Emissions!H17</f>
        <v>0</v>
      </c>
      <c r="L15" s="60">
        <f>'Cold Start'!C15</f>
        <v>50</v>
      </c>
      <c r="M15" s="60">
        <f>'Objective Handling'!E17</f>
        <v>62.857033151548876</v>
      </c>
      <c r="N15" s="60">
        <f>Penalties!I15</f>
        <v>-25</v>
      </c>
      <c r="O15" s="190">
        <v>10</v>
      </c>
      <c r="T15" s="71"/>
    </row>
    <row r="16" spans="1:16" ht="15.75">
      <c r="A16" s="194" t="s">
        <v>122</v>
      </c>
      <c r="B16" s="60">
        <f>Paper!W16</f>
        <v>61.5</v>
      </c>
      <c r="C16" s="60">
        <f>Static!AA17</f>
        <v>0</v>
      </c>
      <c r="D16" s="60">
        <f>Cost!C19</f>
        <v>9.673167867359286</v>
      </c>
      <c r="E16" s="60">
        <f>'Subjective Handling'!N16</f>
        <v>0</v>
      </c>
      <c r="F16" s="60">
        <f>'Fuel Economy '!F18</f>
        <v>0</v>
      </c>
      <c r="G16" s="60">
        <f>Oral!T16</f>
        <v>0</v>
      </c>
      <c r="H16" s="71">
        <f>Noise!G17</f>
        <v>0</v>
      </c>
      <c r="I16" s="73">
        <f>Acceleration!E17</f>
        <v>0</v>
      </c>
      <c r="J16" s="73">
        <f>'Shock Input_Rider Comfort'!E18</f>
        <v>0</v>
      </c>
      <c r="K16" s="60">
        <f>Emissions!H18</f>
        <v>0</v>
      </c>
      <c r="L16" s="60">
        <f>'Cold Start'!C16</f>
        <v>0</v>
      </c>
      <c r="M16" s="60">
        <f>'Objective Handling'!E18</f>
        <v>0</v>
      </c>
      <c r="N16" s="60">
        <f>Penalties!I16</f>
        <v>-100</v>
      </c>
      <c r="O16" s="35"/>
      <c r="P16" s="7"/>
    </row>
    <row r="17" spans="1:16" ht="15.75">
      <c r="A17" s="194"/>
      <c r="B17" s="60"/>
      <c r="C17" s="60"/>
      <c r="D17" s="60"/>
      <c r="E17" s="60"/>
      <c r="F17" s="60"/>
      <c r="G17" s="60"/>
      <c r="H17" s="71"/>
      <c r="I17" s="73"/>
      <c r="J17" s="73"/>
      <c r="K17" s="60"/>
      <c r="L17" s="60"/>
      <c r="M17" s="60"/>
      <c r="N17" s="60"/>
      <c r="O17" s="35"/>
      <c r="P17" s="7"/>
    </row>
    <row r="18" spans="1:16" ht="15.75">
      <c r="A18" s="194"/>
      <c r="B18" s="60"/>
      <c r="C18" s="60"/>
      <c r="D18" s="60"/>
      <c r="E18" s="60"/>
      <c r="F18" s="60"/>
      <c r="G18" s="60"/>
      <c r="H18" s="71"/>
      <c r="I18" s="73"/>
      <c r="J18" s="73"/>
      <c r="K18" s="60"/>
      <c r="L18" s="60"/>
      <c r="M18" s="60"/>
      <c r="N18" s="60"/>
      <c r="O18" s="35"/>
      <c r="P18" s="7"/>
    </row>
    <row r="19" spans="1:16" ht="12.75">
      <c r="A19" s="178"/>
      <c r="B19" s="60"/>
      <c r="C19" s="60"/>
      <c r="D19" s="60"/>
      <c r="E19" s="60"/>
      <c r="F19" s="60"/>
      <c r="G19" s="60"/>
      <c r="H19" s="71"/>
      <c r="I19" s="73"/>
      <c r="J19" s="73"/>
      <c r="K19" s="60"/>
      <c r="L19" s="60"/>
      <c r="M19" s="60"/>
      <c r="N19" s="60"/>
      <c r="O19" s="22"/>
      <c r="P19" s="7"/>
    </row>
    <row r="20" spans="13:16" ht="12.75">
      <c r="M20" s="6"/>
      <c r="N20" s="15"/>
      <c r="O20" s="22"/>
      <c r="P20" s="7"/>
    </row>
    <row r="21" spans="1:16" ht="12.75">
      <c r="A21" s="12"/>
      <c r="B21" s="24" t="s">
        <v>21</v>
      </c>
      <c r="C21" s="21" t="s">
        <v>21</v>
      </c>
      <c r="D21" s="39" t="s">
        <v>24</v>
      </c>
      <c r="E21" s="39" t="s">
        <v>77</v>
      </c>
      <c r="F21" s="39" t="s">
        <v>21</v>
      </c>
      <c r="G21" s="38"/>
      <c r="H21" s="38"/>
      <c r="L21" s="61"/>
      <c r="M21" s="40"/>
      <c r="N21" s="11"/>
      <c r="O21" s="22"/>
      <c r="P21" s="7"/>
    </row>
    <row r="22" spans="1:16" ht="12.75">
      <c r="A22" s="7"/>
      <c r="B22" s="24" t="s">
        <v>20</v>
      </c>
      <c r="C22" s="24" t="s">
        <v>23</v>
      </c>
      <c r="D22" s="24" t="s">
        <v>25</v>
      </c>
      <c r="E22" s="24" t="s">
        <v>21</v>
      </c>
      <c r="F22" s="24" t="s">
        <v>26</v>
      </c>
      <c r="G22" s="24" t="s">
        <v>27</v>
      </c>
      <c r="H22" s="24" t="s">
        <v>29</v>
      </c>
      <c r="L22" s="61"/>
      <c r="M22" s="40"/>
      <c r="N22" s="11"/>
      <c r="O22" s="22"/>
      <c r="P22" s="7"/>
    </row>
    <row r="23" spans="1:16" ht="12.75">
      <c r="A23" s="7"/>
      <c r="B23" s="24" t="s">
        <v>22</v>
      </c>
      <c r="C23" s="24" t="s">
        <v>22</v>
      </c>
      <c r="D23" s="24" t="s">
        <v>22</v>
      </c>
      <c r="E23" s="24" t="s">
        <v>91</v>
      </c>
      <c r="F23" s="24" t="s">
        <v>22</v>
      </c>
      <c r="G23" s="24" t="s">
        <v>11</v>
      </c>
      <c r="H23" s="24" t="s">
        <v>28</v>
      </c>
      <c r="L23" s="61"/>
      <c r="M23" s="40"/>
      <c r="N23" s="11"/>
      <c r="O23" s="22"/>
      <c r="P23" s="7"/>
    </row>
    <row r="24" spans="1:16" ht="15.75">
      <c r="A24" s="194" t="s">
        <v>110</v>
      </c>
      <c r="B24" s="40">
        <f>IF(AND(H4&gt;0,K4&gt;0,I4&gt;0),(I4+M4),"Not Eligible")</f>
        <v>100.93330773203297</v>
      </c>
      <c r="C24" s="40">
        <f aca="true" t="shared" si="0" ref="C24:C36">IF(AND(K4&gt;0,H4&gt;0,I4&gt;0),(B4+G4+C4),"Not Eligible")</f>
        <v>128.575</v>
      </c>
      <c r="D24" s="144">
        <f>(K4+H4)/Cost!B7</f>
        <v>0.40809068681929317</v>
      </c>
      <c r="E24" s="144">
        <f>E4+J4</f>
        <v>58.03209425147267</v>
      </c>
      <c r="F24" s="144">
        <f>(F4+I4+M4+J4+L4)/Cost!B7</f>
        <v>0.1106111104049345</v>
      </c>
      <c r="G24" s="39">
        <f>SUM(B4:O4)</f>
        <v>787.6216242432171</v>
      </c>
      <c r="H24" s="24">
        <f aca="true" t="shared" si="1" ref="H24:H36">RANK(G24,$G$24:$G$36)</f>
        <v>8</v>
      </c>
      <c r="I24" s="40"/>
      <c r="J24" s="24"/>
      <c r="L24" s="61"/>
      <c r="M24" s="40"/>
      <c r="N24" s="11"/>
      <c r="O24" s="22"/>
      <c r="P24" s="7"/>
    </row>
    <row r="25" spans="1:16" ht="15.75">
      <c r="A25" s="194" t="s">
        <v>111</v>
      </c>
      <c r="B25" s="40">
        <f>IF(AND(H5&gt;0,K5&gt;0,I5&gt;0),(I5+M5),"Not Eligible")</f>
        <v>117.8928076668182</v>
      </c>
      <c r="C25" s="40">
        <f t="shared" si="0"/>
        <v>165.52777777777777</v>
      </c>
      <c r="D25" s="144">
        <f>(K5+H5)/Cost!B8</f>
        <v>0.31648971912377366</v>
      </c>
      <c r="E25" s="144">
        <f aca="true" t="shared" si="2" ref="E25:E36">E5+J5</f>
        <v>48.86814442413163</v>
      </c>
      <c r="F25" s="144">
        <f>(F5+I5+M5+J5+L5)/Cost!B8</f>
        <v>0.2149119894820232</v>
      </c>
      <c r="G25" s="39">
        <f aca="true" t="shared" si="3" ref="G25:G36">SUM(B5:O5)</f>
        <v>1018.7395800339334</v>
      </c>
      <c r="H25" s="24">
        <f t="shared" si="1"/>
        <v>4</v>
      </c>
      <c r="J25" s="24"/>
      <c r="L25" s="61"/>
      <c r="M25" s="40"/>
      <c r="N25" s="11"/>
      <c r="O25" s="22"/>
      <c r="P25" s="7"/>
    </row>
    <row r="26" spans="1:16" ht="15.75">
      <c r="A26" s="194" t="s">
        <v>112</v>
      </c>
      <c r="B26" s="40">
        <f aca="true" t="shared" si="4" ref="B26:B36">IF(AND(H6&gt;0,K6&gt;0,I6&gt;0),(I6+M6),"Not Eligible")</f>
        <v>115.11191298304118</v>
      </c>
      <c r="C26" s="40">
        <f t="shared" si="0"/>
        <v>194.29411764705884</v>
      </c>
      <c r="D26" s="144">
        <f>(K6+H6)/Cost!B9</f>
        <v>0.5069906027962411</v>
      </c>
      <c r="E26" s="144">
        <f t="shared" si="2"/>
        <v>70.34298192159252</v>
      </c>
      <c r="F26" s="144">
        <f>(F6+I6+M6+J6+L6)/Cost!B9</f>
        <v>0.2775362967647551</v>
      </c>
      <c r="G26" s="39">
        <f t="shared" si="3"/>
        <v>1107.4531748346278</v>
      </c>
      <c r="H26" s="24">
        <f t="shared" si="1"/>
        <v>1</v>
      </c>
      <c r="J26" s="24"/>
      <c r="L26" s="61"/>
      <c r="M26" s="40"/>
      <c r="N26" s="11"/>
      <c r="O26" s="22"/>
      <c r="P26" s="7"/>
    </row>
    <row r="27" spans="1:16" ht="15.75">
      <c r="A27" s="194" t="s">
        <v>113</v>
      </c>
      <c r="B27" s="40">
        <f t="shared" si="4"/>
        <v>114.61652985396634</v>
      </c>
      <c r="C27" s="40">
        <f>IF(AND(K7&gt;0,H7&gt;0,I7&gt;0),(B7+G7+C7),"Not Eligible")</f>
        <v>147.23039215686276</v>
      </c>
      <c r="D27" s="144">
        <f>(K7+H7)/Cost!B10</f>
        <v>0.5177964585941692</v>
      </c>
      <c r="E27" s="144">
        <f t="shared" si="2"/>
        <v>71.75050056585705</v>
      </c>
      <c r="F27" s="144">
        <f>(F7+I7+M7+J7+L7)/Cost!B10</f>
        <v>0.18065631153879497</v>
      </c>
      <c r="G27" s="39">
        <f t="shared" si="3"/>
        <v>1004.1260080960141</v>
      </c>
      <c r="H27" s="24">
        <f t="shared" si="1"/>
        <v>5</v>
      </c>
      <c r="J27" s="24"/>
      <c r="L27" s="61"/>
      <c r="M27" s="40"/>
      <c r="N27" s="11"/>
      <c r="O27" s="22"/>
      <c r="P27" s="7"/>
    </row>
    <row r="28" spans="1:16" ht="15.75">
      <c r="A28" s="194" t="s">
        <v>114</v>
      </c>
      <c r="B28" s="40">
        <f t="shared" si="4"/>
        <v>137.19535742045792</v>
      </c>
      <c r="C28" s="40">
        <f t="shared" si="0"/>
        <v>176.83823529411765</v>
      </c>
      <c r="D28" s="144">
        <f>(K8+H8)/Cost!B11</f>
        <v>0.3348638808889855</v>
      </c>
      <c r="E28" s="144">
        <f t="shared" si="2"/>
        <v>48.8058094657729</v>
      </c>
      <c r="F28" s="144">
        <f>(F8+I8+M8+J8+L8)/Cost!B11</f>
        <v>0.1995078174132295</v>
      </c>
      <c r="G28" s="39">
        <f t="shared" si="3"/>
        <v>1031.0682705217564</v>
      </c>
      <c r="H28" s="24">
        <f t="shared" si="1"/>
        <v>3</v>
      </c>
      <c r="J28" s="24"/>
      <c r="L28" s="61"/>
      <c r="M28" s="40"/>
      <c r="N28" s="11"/>
      <c r="O28" s="22"/>
      <c r="P28" s="7"/>
    </row>
    <row r="29" spans="1:16" ht="15.75">
      <c r="A29" s="194" t="s">
        <v>115</v>
      </c>
      <c r="B29" s="40">
        <f t="shared" si="4"/>
        <v>143.3680425908543</v>
      </c>
      <c r="C29" s="40">
        <f t="shared" si="0"/>
        <v>195.0735294117647</v>
      </c>
      <c r="D29" s="144">
        <f>(K9+H9)/Cost!B12</f>
        <v>0.34149376963589173</v>
      </c>
      <c r="E29" s="144">
        <f t="shared" si="2"/>
        <v>49.71234003656308</v>
      </c>
      <c r="F29" s="144">
        <f>(F9+I9+M9+J9+L9)/Cost!B12</f>
        <v>0.21329705641512317</v>
      </c>
      <c r="G29" s="39">
        <f t="shared" si="3"/>
        <v>891.8389566573068</v>
      </c>
      <c r="H29" s="24">
        <f t="shared" si="1"/>
        <v>6</v>
      </c>
      <c r="J29" s="24"/>
      <c r="L29" s="61"/>
      <c r="M29" s="40"/>
      <c r="N29" s="11"/>
      <c r="O29" s="22"/>
      <c r="P29" s="7"/>
    </row>
    <row r="30" spans="1:16" ht="15.75">
      <c r="A30" s="194" t="s">
        <v>116</v>
      </c>
      <c r="B30" s="40" t="str">
        <f t="shared" si="4"/>
        <v>Not Eligible</v>
      </c>
      <c r="C30" s="40" t="str">
        <f t="shared" si="0"/>
        <v>Not Eligible</v>
      </c>
      <c r="D30" s="144">
        <f>(K10+H10)/Cost!B13</f>
        <v>0.10877723510023823</v>
      </c>
      <c r="E30" s="144">
        <f t="shared" si="2"/>
        <v>40.888888888888886</v>
      </c>
      <c r="F30" s="144">
        <f>(F10+I10+M10+J10+L10)/Cost!B13</f>
        <v>0.45800730331955897</v>
      </c>
      <c r="G30" s="39">
        <f t="shared" si="3"/>
        <v>788.2353345375794</v>
      </c>
      <c r="H30" s="24">
        <f t="shared" si="1"/>
        <v>7</v>
      </c>
      <c r="J30" s="24"/>
      <c r="L30" s="61"/>
      <c r="M30" s="40"/>
      <c r="N30" s="11"/>
      <c r="O30" s="22"/>
      <c r="P30" s="7"/>
    </row>
    <row r="31" spans="1:16" ht="15.75">
      <c r="A31" s="194" t="s">
        <v>117</v>
      </c>
      <c r="B31" s="40" t="str">
        <f t="shared" si="4"/>
        <v>Not Eligible</v>
      </c>
      <c r="C31" s="40" t="str">
        <f t="shared" si="0"/>
        <v>Not Eligible</v>
      </c>
      <c r="D31" s="144">
        <f>(K11+H11)/Cost!B14</f>
        <v>0</v>
      </c>
      <c r="E31" s="144">
        <f t="shared" si="2"/>
        <v>43.11742078001219</v>
      </c>
      <c r="F31" s="144">
        <f>(F11+I11+M11+J11+L11)/Cost!B14</f>
        <v>0.08172745529020081</v>
      </c>
      <c r="G31" s="39">
        <f t="shared" si="3"/>
        <v>295.3511121977331</v>
      </c>
      <c r="H31" s="24">
        <f t="shared" si="1"/>
        <v>12</v>
      </c>
      <c r="J31" s="24"/>
      <c r="L31" s="61"/>
      <c r="M31" s="40"/>
      <c r="N31" s="11"/>
      <c r="O31" s="22"/>
      <c r="P31" s="7"/>
    </row>
    <row r="32" spans="1:16" ht="15.75">
      <c r="A32" s="194" t="s">
        <v>118</v>
      </c>
      <c r="B32" s="40" t="str">
        <f t="shared" si="4"/>
        <v>Not Eligible</v>
      </c>
      <c r="C32" s="40" t="str">
        <f t="shared" si="0"/>
        <v>Not Eligible</v>
      </c>
      <c r="D32" s="144">
        <f>(K12+H12)/Cost!B15</f>
        <v>0</v>
      </c>
      <c r="E32" s="144">
        <f t="shared" si="2"/>
        <v>61.445764777574645</v>
      </c>
      <c r="F32" s="144">
        <f>(F12+I12+M12+J12+L12)/Cost!B15</f>
        <v>0.20932631185633324</v>
      </c>
      <c r="G32" s="39">
        <f t="shared" si="3"/>
        <v>493.74831601511295</v>
      </c>
      <c r="H32" s="24">
        <f t="shared" si="1"/>
        <v>10</v>
      </c>
      <c r="J32" s="24"/>
      <c r="L32" s="61"/>
      <c r="M32" s="40"/>
      <c r="N32" s="11"/>
      <c r="O32" s="22"/>
      <c r="P32" s="7"/>
    </row>
    <row r="33" spans="1:16" ht="15.75">
      <c r="A33" s="194" t="s">
        <v>119</v>
      </c>
      <c r="B33" s="40" t="str">
        <f t="shared" si="4"/>
        <v>Not Eligible</v>
      </c>
      <c r="C33" s="40" t="str">
        <f t="shared" si="0"/>
        <v>Not Eligible</v>
      </c>
      <c r="D33" s="144">
        <f>(K13+H13)/Cost!B16</f>
        <v>0</v>
      </c>
      <c r="E33" s="144">
        <f t="shared" si="2"/>
        <v>71.40097501523461</v>
      </c>
      <c r="F33" s="144">
        <f>(F13+I13+M13+J13+L13)/Cost!B16</f>
        <v>0.16709389672008493</v>
      </c>
      <c r="G33" s="39">
        <f t="shared" si="3"/>
        <v>385.82989839665055</v>
      </c>
      <c r="H33" s="24">
        <f t="shared" si="1"/>
        <v>11</v>
      </c>
      <c r="J33" s="24"/>
      <c r="L33" s="33"/>
      <c r="M33" s="22"/>
      <c r="N33" s="11"/>
      <c r="O33" s="22"/>
      <c r="P33" s="7"/>
    </row>
    <row r="34" spans="1:16" s="80" customFormat="1" ht="15.75">
      <c r="A34" s="194" t="s">
        <v>120</v>
      </c>
      <c r="B34" s="40">
        <f t="shared" si="4"/>
        <v>149.97502546057478</v>
      </c>
      <c r="C34" s="40">
        <f t="shared" si="0"/>
        <v>120.67063492063491</v>
      </c>
      <c r="D34" s="144">
        <f>(K14+H14)/Cost!B17</f>
        <v>0.19776250209574905</v>
      </c>
      <c r="E34" s="144">
        <f t="shared" si="2"/>
        <v>58.51350802356286</v>
      </c>
      <c r="F34" s="144">
        <f>(F14+I14+M14+J14+L14)/Cost!B17</f>
        <v>0.13185503301948293</v>
      </c>
      <c r="G34" s="39">
        <f t="shared" si="3"/>
        <v>1032.7612649312007</v>
      </c>
      <c r="H34" s="24">
        <f t="shared" si="1"/>
        <v>2</v>
      </c>
      <c r="I34" s="81"/>
      <c r="J34" s="24"/>
      <c r="K34" s="81"/>
      <c r="L34" s="81"/>
      <c r="M34" s="81"/>
      <c r="N34" s="81"/>
      <c r="O34" s="189"/>
      <c r="P34" s="43"/>
    </row>
    <row r="35" spans="1:16" s="80" customFormat="1" ht="15.75">
      <c r="A35" s="194" t="s">
        <v>121</v>
      </c>
      <c r="B35" s="40" t="str">
        <f t="shared" si="4"/>
        <v>Not Eligible</v>
      </c>
      <c r="C35" s="40" t="str">
        <f t="shared" si="0"/>
        <v>Not Eligible</v>
      </c>
      <c r="D35" s="144">
        <f>(K15+H15)/Cost!B18</f>
        <v>0.11221245558256966</v>
      </c>
      <c r="E35" s="144">
        <f t="shared" si="2"/>
        <v>117.1</v>
      </c>
      <c r="F35" s="144">
        <f>(F15+I15+M15+J15+L15)/Cost!B18</f>
        <v>0.3150696397968752</v>
      </c>
      <c r="G35" s="39">
        <f t="shared" si="3"/>
        <v>746.3480255416679</v>
      </c>
      <c r="H35" s="24">
        <f t="shared" si="1"/>
        <v>9</v>
      </c>
      <c r="I35" s="81"/>
      <c r="J35" s="24"/>
      <c r="K35" s="81"/>
      <c r="L35" s="81"/>
      <c r="M35" s="81"/>
      <c r="N35" s="81"/>
      <c r="O35" s="189"/>
      <c r="P35" s="43"/>
    </row>
    <row r="36" spans="1:16" s="80" customFormat="1" ht="15.75">
      <c r="A36" s="194" t="s">
        <v>122</v>
      </c>
      <c r="B36" s="40" t="str">
        <f t="shared" si="4"/>
        <v>Not Eligible</v>
      </c>
      <c r="C36" s="40" t="str">
        <f t="shared" si="0"/>
        <v>Not Eligible</v>
      </c>
      <c r="D36" s="144">
        <f>(K16+H16)/Cost!B19</f>
        <v>0</v>
      </c>
      <c r="E36" s="144">
        <f t="shared" si="2"/>
        <v>0</v>
      </c>
      <c r="F36" s="144">
        <f>(F16+I16+M16+J16+L16)/Cost!B19</f>
        <v>0</v>
      </c>
      <c r="G36" s="39">
        <f t="shared" si="3"/>
        <v>-28.826832132640718</v>
      </c>
      <c r="H36" s="24">
        <f t="shared" si="1"/>
        <v>13</v>
      </c>
      <c r="I36" s="81"/>
      <c r="J36" s="24"/>
      <c r="K36" s="81"/>
      <c r="L36" s="81"/>
      <c r="M36" s="81"/>
      <c r="N36" s="81"/>
      <c r="O36" s="189"/>
      <c r="P36" s="43"/>
    </row>
    <row r="37" spans="1:16" s="80" customFormat="1" ht="12.75">
      <c r="A37" s="178"/>
      <c r="B37" s="40"/>
      <c r="C37" s="40"/>
      <c r="D37" s="144"/>
      <c r="E37" s="144"/>
      <c r="F37" s="144"/>
      <c r="G37" s="39"/>
      <c r="H37" s="24"/>
      <c r="I37" s="81"/>
      <c r="J37" s="24"/>
      <c r="K37" s="81"/>
      <c r="L37" s="81"/>
      <c r="M37" s="81"/>
      <c r="N37" s="81"/>
      <c r="O37" s="189"/>
      <c r="P37" s="43"/>
    </row>
    <row r="38" spans="1:16" s="80" customFormat="1" ht="12.75">
      <c r="A38" s="178"/>
      <c r="B38" s="40"/>
      <c r="C38" s="40"/>
      <c r="D38" s="144"/>
      <c r="E38" s="144"/>
      <c r="F38" s="144"/>
      <c r="G38" s="39"/>
      <c r="H38" s="24"/>
      <c r="I38" s="81"/>
      <c r="J38" s="24"/>
      <c r="K38" s="81"/>
      <c r="L38" s="81"/>
      <c r="M38" s="81"/>
      <c r="N38" s="81"/>
      <c r="O38" s="189"/>
      <c r="P38" s="43"/>
    </row>
    <row r="39" spans="1:16" s="80" customFormat="1" ht="12.75">
      <c r="A39" s="178"/>
      <c r="B39" s="40"/>
      <c r="C39" s="40"/>
      <c r="D39" s="144">
        <f>MAX(D24:D36)</f>
        <v>0.5177964585941692</v>
      </c>
      <c r="E39" s="144">
        <f>MAX(E24:E36)</f>
        <v>117.1</v>
      </c>
      <c r="F39" s="144">
        <f>MAX(F24:F36)</f>
        <v>0.45800730331955897</v>
      </c>
      <c r="G39" s="39"/>
      <c r="H39" s="24"/>
      <c r="I39" s="81"/>
      <c r="J39" s="24"/>
      <c r="K39" s="81"/>
      <c r="L39" s="81"/>
      <c r="M39" s="81"/>
      <c r="N39" s="81"/>
      <c r="O39" s="189"/>
      <c r="P39" s="43"/>
    </row>
    <row r="40" spans="6:16" s="80" customFormat="1" ht="12.75">
      <c r="F40" s="96"/>
      <c r="G40" s="42"/>
      <c r="H40" s="81"/>
      <c r="I40" s="81"/>
      <c r="J40" s="81"/>
      <c r="K40" s="81"/>
      <c r="L40" s="81"/>
      <c r="M40" s="81"/>
      <c r="N40" s="81"/>
      <c r="O40" s="189"/>
      <c r="P40" s="43"/>
    </row>
    <row r="41" spans="1:16" s="80" customFormat="1" ht="12.75">
      <c r="A41" s="94" t="s">
        <v>54</v>
      </c>
      <c r="B41" s="188" t="str">
        <f>A26</f>
        <v>#3 University of Wisconsin-Madison</v>
      </c>
      <c r="C41" s="95"/>
      <c r="D41" s="95"/>
      <c r="E41" s="95"/>
      <c r="F41" s="96"/>
      <c r="G41" s="42"/>
      <c r="H41" s="81"/>
      <c r="I41" s="43"/>
      <c r="J41" s="43"/>
      <c r="K41" s="43"/>
      <c r="L41" s="43"/>
      <c r="M41" s="43"/>
      <c r="N41" s="43"/>
      <c r="O41" s="189"/>
      <c r="P41" s="43"/>
    </row>
    <row r="42" spans="1:16" s="80" customFormat="1" ht="12.75">
      <c r="A42" s="94" t="s">
        <v>53</v>
      </c>
      <c r="B42" s="8" t="str">
        <f>A34</f>
        <v>#13 University of Minnesota-Duluth</v>
      </c>
      <c r="C42" s="95"/>
      <c r="D42" s="95"/>
      <c r="E42" s="95"/>
      <c r="F42" s="21" t="s">
        <v>77</v>
      </c>
      <c r="G42" s="42"/>
      <c r="H42" s="81"/>
      <c r="I42" s="43"/>
      <c r="J42" s="43"/>
      <c r="K42" s="43"/>
      <c r="L42" s="43"/>
      <c r="M42" s="43"/>
      <c r="N42" s="43"/>
      <c r="O42" s="189"/>
      <c r="P42" s="43"/>
    </row>
    <row r="43" spans="1:16" s="80" customFormat="1" ht="12.75">
      <c r="A43" s="94" t="s">
        <v>53</v>
      </c>
      <c r="B43" s="8" t="str">
        <f>A28</f>
        <v>#5 Kettering University</v>
      </c>
      <c r="C43" s="95"/>
      <c r="D43" s="95"/>
      <c r="E43" s="95"/>
      <c r="F43" s="96"/>
      <c r="G43" s="42"/>
      <c r="H43" s="81"/>
      <c r="I43" s="43"/>
      <c r="J43" s="43"/>
      <c r="K43" s="43"/>
      <c r="L43" s="43"/>
      <c r="M43" s="43"/>
      <c r="N43" s="43"/>
      <c r="O43" s="189"/>
      <c r="P43" s="43"/>
    </row>
    <row r="44" spans="1:16" s="80" customFormat="1" ht="12.75">
      <c r="A44" s="94" t="s">
        <v>69</v>
      </c>
      <c r="B44" s="8" t="str">
        <f>A25</f>
        <v>#2 Clarkson University</v>
      </c>
      <c r="C44" s="95"/>
      <c r="D44" s="95"/>
      <c r="E44" s="95"/>
      <c r="F44" s="43"/>
      <c r="G44" s="43"/>
      <c r="H44" s="43"/>
      <c r="I44" s="43"/>
      <c r="J44" s="43"/>
      <c r="K44" s="43"/>
      <c r="L44" s="43"/>
      <c r="M44" s="43"/>
      <c r="N44" s="43"/>
      <c r="O44" s="189"/>
      <c r="P44" s="43"/>
    </row>
    <row r="45" spans="1:16" s="80" customFormat="1" ht="12.75">
      <c r="A45" s="94" t="s">
        <v>70</v>
      </c>
      <c r="B45" s="8" t="str">
        <f>A27</f>
        <v>#4 University of Maine</v>
      </c>
      <c r="C45" s="95"/>
      <c r="D45" s="95"/>
      <c r="E45" s="95"/>
      <c r="F45" s="43"/>
      <c r="G45" s="43"/>
      <c r="H45" s="43"/>
      <c r="I45" s="43"/>
      <c r="J45" s="43"/>
      <c r="K45" s="43"/>
      <c r="L45" s="43"/>
      <c r="M45" s="43"/>
      <c r="N45" s="43"/>
      <c r="O45" s="189"/>
      <c r="P45" s="43"/>
    </row>
    <row r="46" spans="1:16" s="80" customFormat="1" ht="12.75">
      <c r="A46" s="94" t="s">
        <v>30</v>
      </c>
      <c r="B46" s="8" t="str">
        <f>A34</f>
        <v>#13 University of Minnesota-Duluth</v>
      </c>
      <c r="C46" s="97"/>
      <c r="D46" s="95"/>
      <c r="E46" s="95"/>
      <c r="F46" s="43"/>
      <c r="G46" s="43"/>
      <c r="H46" s="43"/>
      <c r="I46" s="43"/>
      <c r="J46" s="43"/>
      <c r="K46" s="43"/>
      <c r="L46" s="43"/>
      <c r="M46" s="43"/>
      <c r="N46" s="43"/>
      <c r="O46" s="189"/>
      <c r="P46" s="43"/>
    </row>
    <row r="47" spans="1:16" s="80" customFormat="1" ht="12.75">
      <c r="A47" s="94" t="s">
        <v>105</v>
      </c>
      <c r="B47" s="8" t="str">
        <f>A35</f>
        <v>#15 Ecole De Technologie Superieure</v>
      </c>
      <c r="C47" s="97"/>
      <c r="D47" s="95"/>
      <c r="E47" s="95"/>
      <c r="F47" s="43"/>
      <c r="G47" s="43"/>
      <c r="H47" s="43"/>
      <c r="I47" s="43"/>
      <c r="J47" s="43"/>
      <c r="K47" s="43"/>
      <c r="L47" s="43"/>
      <c r="M47" s="43"/>
      <c r="N47" s="43"/>
      <c r="O47" s="189"/>
      <c r="P47" s="43"/>
    </row>
    <row r="48" spans="1:16" s="80" customFormat="1" ht="12.75">
      <c r="A48" s="94" t="s">
        <v>31</v>
      </c>
      <c r="B48" s="8" t="str">
        <f>A26</f>
        <v>#3 University of Wisconsin-Madison</v>
      </c>
      <c r="C48" s="98"/>
      <c r="D48" s="98"/>
      <c r="E48" s="98"/>
      <c r="F48" s="43"/>
      <c r="G48" s="43"/>
      <c r="H48" s="43"/>
      <c r="I48" s="43"/>
      <c r="J48" s="43"/>
      <c r="K48" s="43"/>
      <c r="L48" s="43"/>
      <c r="M48" s="43"/>
      <c r="N48" s="43"/>
      <c r="O48" s="189"/>
      <c r="P48" s="43"/>
    </row>
    <row r="49" spans="1:16" s="80" customFormat="1" ht="12.75">
      <c r="A49" s="94" t="s">
        <v>32</v>
      </c>
      <c r="B49" s="8" t="str">
        <f>A29</f>
        <v>#6 Michigan Tech Univ</v>
      </c>
      <c r="C49" s="98"/>
      <c r="D49" s="98"/>
      <c r="E49" s="98"/>
      <c r="F49" s="43"/>
      <c r="G49" s="43"/>
      <c r="H49" s="43"/>
      <c r="I49" s="43"/>
      <c r="J49" s="43"/>
      <c r="K49" s="43"/>
      <c r="L49" s="43"/>
      <c r="M49" s="43"/>
      <c r="N49" s="43"/>
      <c r="O49" s="189"/>
      <c r="P49" s="43"/>
    </row>
    <row r="50" spans="1:16" s="80" customFormat="1" ht="12.75">
      <c r="A50" s="94" t="s">
        <v>33</v>
      </c>
      <c r="B50" s="8" t="str">
        <f>A30</f>
        <v>#7 University of Wisconsin-Platteville</v>
      </c>
      <c r="C50" s="98"/>
      <c r="D50" s="98"/>
      <c r="E50" s="98"/>
      <c r="F50" s="43"/>
      <c r="G50" s="43"/>
      <c r="H50" s="43"/>
      <c r="I50" s="43"/>
      <c r="J50" s="43"/>
      <c r="K50" s="43"/>
      <c r="L50" s="43"/>
      <c r="M50" s="43"/>
      <c r="N50" s="43"/>
      <c r="O50" s="189"/>
      <c r="P50" s="43"/>
    </row>
    <row r="51" spans="1:16" s="80" customFormat="1" ht="12.75">
      <c r="A51" s="94" t="s">
        <v>34</v>
      </c>
      <c r="B51" s="8" t="str">
        <f>A25</f>
        <v>#2 Clarkson University</v>
      </c>
      <c r="C51" s="98"/>
      <c r="D51" s="98"/>
      <c r="E51" s="98"/>
      <c r="F51" s="43"/>
      <c r="G51" s="43"/>
      <c r="H51" s="43"/>
      <c r="I51" s="43"/>
      <c r="J51" s="43"/>
      <c r="K51" s="43"/>
      <c r="L51" s="43"/>
      <c r="M51" s="43"/>
      <c r="N51" s="43"/>
      <c r="O51" s="189"/>
      <c r="P51" s="43"/>
    </row>
    <row r="52" spans="1:16" ht="12.75">
      <c r="A52" s="94" t="s">
        <v>35</v>
      </c>
      <c r="B52" s="8" t="str">
        <f>A27</f>
        <v>#4 University of Maine</v>
      </c>
      <c r="C52" s="98"/>
      <c r="D52" s="98"/>
      <c r="E52" s="98"/>
      <c r="F52" s="43"/>
      <c r="G52" s="43"/>
      <c r="H52" s="43"/>
      <c r="I52" s="7"/>
      <c r="J52" s="7"/>
      <c r="K52" s="7"/>
      <c r="L52" s="7"/>
      <c r="M52" s="7"/>
      <c r="N52" s="7"/>
      <c r="O52" s="22"/>
      <c r="P52" s="7"/>
    </row>
    <row r="53" spans="1:8" ht="12.75">
      <c r="A53" s="94" t="s">
        <v>36</v>
      </c>
      <c r="B53" s="8" t="str">
        <f>A30</f>
        <v>#7 University of Wisconsin-Platteville</v>
      </c>
      <c r="C53" s="98"/>
      <c r="D53" s="98"/>
      <c r="E53" s="26"/>
      <c r="F53" s="43"/>
      <c r="G53" s="43"/>
      <c r="H53" s="43"/>
    </row>
    <row r="54" spans="1:8" ht="12.75">
      <c r="A54" s="94" t="s">
        <v>67</v>
      </c>
      <c r="B54" s="8" t="str">
        <f>A34</f>
        <v>#13 University of Minnesota-Duluth</v>
      </c>
      <c r="C54" s="98"/>
      <c r="D54" s="98"/>
      <c r="E54" s="98"/>
      <c r="F54" s="7"/>
      <c r="G54" s="7"/>
      <c r="H54" s="7"/>
    </row>
    <row r="55" spans="1:5" ht="12.75">
      <c r="A55" s="94" t="s">
        <v>68</v>
      </c>
      <c r="B55" s="8" t="str">
        <f>A34</f>
        <v>#13 University of Minnesota-Duluth</v>
      </c>
      <c r="C55" s="98"/>
      <c r="D55" s="98"/>
      <c r="E55" s="98"/>
    </row>
    <row r="56" spans="1:5" ht="12.75">
      <c r="A56" s="94" t="s">
        <v>38</v>
      </c>
      <c r="B56" s="8" t="str">
        <f>A24</f>
        <v>#1 SUNY-Buffalo</v>
      </c>
      <c r="C56" s="98"/>
      <c r="D56" s="98"/>
      <c r="E56" s="98"/>
    </row>
  </sheetData>
  <printOptions gridLines="1"/>
  <pageMargins left="0.75" right="0.75" top="1" bottom="1" header="0.5" footer="0.5"/>
  <pageSetup fitToHeight="1" fitToWidth="1" horizontalDpi="300" verticalDpi="300" orientation="landscape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3.421875" style="0" customWidth="1"/>
    <col min="2" max="5" width="10.28125" style="0" customWidth="1"/>
  </cols>
  <sheetData>
    <row r="1" spans="1:21" ht="18.75">
      <c r="A1" s="51" t="s">
        <v>201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ht="12.7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5" ht="12.75">
      <c r="B3" s="179" t="s">
        <v>198</v>
      </c>
      <c r="C3" s="179" t="s">
        <v>199</v>
      </c>
      <c r="D3" s="179" t="s">
        <v>200</v>
      </c>
      <c r="E3" s="49" t="s">
        <v>27</v>
      </c>
    </row>
    <row r="4" spans="1:5" ht="15.75">
      <c r="A4" s="194" t="s">
        <v>110</v>
      </c>
      <c r="B4" s="53">
        <v>169</v>
      </c>
      <c r="C4" s="53">
        <v>165</v>
      </c>
      <c r="D4" s="53">
        <v>297</v>
      </c>
      <c r="E4" s="207">
        <f>SUM(B4:D4)</f>
        <v>631</v>
      </c>
    </row>
    <row r="5" spans="1:5" ht="15.75">
      <c r="A5" s="194" t="s">
        <v>111</v>
      </c>
      <c r="B5" s="53">
        <v>191</v>
      </c>
      <c r="C5" s="53">
        <v>203</v>
      </c>
      <c r="D5" s="53">
        <v>391</v>
      </c>
      <c r="E5" s="207">
        <f aca="true" t="shared" si="0" ref="E5:E15">SUM(B5:D5)</f>
        <v>785</v>
      </c>
    </row>
    <row r="6" spans="1:5" ht="15.75">
      <c r="A6" s="194" t="s">
        <v>112</v>
      </c>
      <c r="B6" s="53">
        <v>166</v>
      </c>
      <c r="C6" s="53">
        <v>173</v>
      </c>
      <c r="D6" s="53">
        <v>315</v>
      </c>
      <c r="E6" s="207">
        <f t="shared" si="0"/>
        <v>654</v>
      </c>
    </row>
    <row r="7" spans="1:5" ht="15.75">
      <c r="A7" s="194" t="s">
        <v>113</v>
      </c>
      <c r="B7" s="53">
        <v>192</v>
      </c>
      <c r="C7" s="53">
        <v>196</v>
      </c>
      <c r="D7" s="53">
        <v>306</v>
      </c>
      <c r="E7" s="207">
        <f t="shared" si="0"/>
        <v>694</v>
      </c>
    </row>
    <row r="8" spans="1:5" ht="15.75">
      <c r="A8" s="194" t="s">
        <v>114</v>
      </c>
      <c r="B8" s="53">
        <v>159</v>
      </c>
      <c r="C8" s="53">
        <v>164</v>
      </c>
      <c r="D8" s="53">
        <v>385</v>
      </c>
      <c r="E8" s="207">
        <f t="shared" si="0"/>
        <v>708</v>
      </c>
    </row>
    <row r="9" spans="1:5" ht="15.75">
      <c r="A9" s="194" t="s">
        <v>115</v>
      </c>
      <c r="B9" s="53">
        <v>182</v>
      </c>
      <c r="C9" s="53">
        <v>199</v>
      </c>
      <c r="D9" s="53">
        <v>393</v>
      </c>
      <c r="E9" s="207">
        <f t="shared" si="0"/>
        <v>774</v>
      </c>
    </row>
    <row r="10" spans="1:5" ht="31.5">
      <c r="A10" s="194" t="s">
        <v>116</v>
      </c>
      <c r="B10" s="53">
        <v>177</v>
      </c>
      <c r="C10" s="53">
        <v>178</v>
      </c>
      <c r="D10" s="53">
        <v>319</v>
      </c>
      <c r="E10" s="207">
        <f t="shared" si="0"/>
        <v>674</v>
      </c>
    </row>
    <row r="11" spans="1:5" ht="31.5">
      <c r="A11" s="194" t="s">
        <v>117</v>
      </c>
      <c r="B11" s="53">
        <v>149</v>
      </c>
      <c r="C11" s="53">
        <v>144</v>
      </c>
      <c r="D11" s="53">
        <v>346</v>
      </c>
      <c r="E11" s="207">
        <f t="shared" si="0"/>
        <v>639</v>
      </c>
    </row>
    <row r="12" spans="1:8" ht="28.5">
      <c r="A12" s="210" t="s">
        <v>202</v>
      </c>
      <c r="B12" s="53">
        <v>119</v>
      </c>
      <c r="C12" s="53">
        <v>149</v>
      </c>
      <c r="D12" s="53">
        <v>350</v>
      </c>
      <c r="E12" s="207">
        <f t="shared" si="0"/>
        <v>618</v>
      </c>
      <c r="F12" s="208"/>
      <c r="G12" s="209"/>
      <c r="H12" s="209"/>
    </row>
    <row r="13" spans="1:5" ht="15.75">
      <c r="A13" s="194" t="s">
        <v>119</v>
      </c>
      <c r="B13" s="53">
        <v>207</v>
      </c>
      <c r="C13" s="53">
        <v>188</v>
      </c>
      <c r="D13" s="53">
        <v>343</v>
      </c>
      <c r="E13" s="207">
        <f t="shared" si="0"/>
        <v>738</v>
      </c>
    </row>
    <row r="14" spans="1:5" ht="15.75">
      <c r="A14" s="194" t="s">
        <v>120</v>
      </c>
      <c r="B14" s="53">
        <v>185</v>
      </c>
      <c r="C14" s="53">
        <v>177</v>
      </c>
      <c r="D14" s="53">
        <v>345</v>
      </c>
      <c r="E14" s="207">
        <f t="shared" si="0"/>
        <v>707</v>
      </c>
    </row>
    <row r="15" spans="1:5" ht="31.5">
      <c r="A15" s="194" t="s">
        <v>121</v>
      </c>
      <c r="B15" s="53">
        <v>153</v>
      </c>
      <c r="C15" s="53">
        <v>162</v>
      </c>
      <c r="D15" s="53">
        <v>308</v>
      </c>
      <c r="E15" s="207">
        <f t="shared" si="0"/>
        <v>623</v>
      </c>
    </row>
    <row r="16" ht="12.75">
      <c r="A16" t="s">
        <v>203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="75" zoomScaleNormal="75" workbookViewId="0" topLeftCell="A1">
      <selection activeCell="Z21" sqref="Z21"/>
    </sheetView>
  </sheetViews>
  <sheetFormatPr defaultColWidth="9.140625" defaultRowHeight="12.75"/>
  <cols>
    <col min="1" max="1" width="38.7109375" style="0" customWidth="1"/>
    <col min="2" max="25" width="8.7109375" style="0" customWidth="1"/>
    <col min="26" max="26" width="9.00390625" style="0" customWidth="1"/>
  </cols>
  <sheetData>
    <row r="1" spans="1:28" ht="18.75">
      <c r="A1" s="9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7"/>
      <c r="B2" s="172" t="s">
        <v>83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7"/>
      <c r="AB2" s="7"/>
    </row>
    <row r="3" spans="1:28" ht="12.75">
      <c r="A3" s="7"/>
      <c r="B3" s="195" t="s">
        <v>210</v>
      </c>
      <c r="C3" s="195" t="s">
        <v>228</v>
      </c>
      <c r="D3" s="195" t="s">
        <v>239</v>
      </c>
      <c r="E3" s="196" t="s">
        <v>240</v>
      </c>
      <c r="F3" s="196" t="s">
        <v>217</v>
      </c>
      <c r="G3" s="195" t="s">
        <v>219</v>
      </c>
      <c r="H3" s="195"/>
      <c r="I3" s="196" t="s">
        <v>216</v>
      </c>
      <c r="J3" s="195" t="s">
        <v>227</v>
      </c>
      <c r="K3" s="195" t="s">
        <v>219</v>
      </c>
      <c r="L3" s="196" t="s">
        <v>223</v>
      </c>
      <c r="M3" s="195" t="s">
        <v>234</v>
      </c>
      <c r="N3" s="195" t="s">
        <v>224</v>
      </c>
      <c r="O3" s="195" t="s">
        <v>226</v>
      </c>
      <c r="P3" s="195" t="s">
        <v>171</v>
      </c>
      <c r="Q3" s="195"/>
      <c r="R3" s="195"/>
      <c r="S3" s="196" t="s">
        <v>235</v>
      </c>
      <c r="T3" s="196" t="s">
        <v>175</v>
      </c>
      <c r="U3" s="195" t="s">
        <v>217</v>
      </c>
      <c r="V3" s="195" t="s">
        <v>210</v>
      </c>
      <c r="W3" s="195" t="s">
        <v>221</v>
      </c>
      <c r="X3" s="195" t="s">
        <v>224</v>
      </c>
      <c r="Y3" s="195" t="s">
        <v>232</v>
      </c>
      <c r="Z3" s="195"/>
      <c r="AA3" s="7"/>
      <c r="AB3" s="7"/>
    </row>
    <row r="4" spans="1:28" ht="12.75">
      <c r="A4" s="29"/>
      <c r="B4" s="195" t="s">
        <v>213</v>
      </c>
      <c r="C4" s="195" t="s">
        <v>229</v>
      </c>
      <c r="D4" s="195" t="s">
        <v>214</v>
      </c>
      <c r="E4" s="196" t="s">
        <v>215</v>
      </c>
      <c r="F4" s="196" t="s">
        <v>218</v>
      </c>
      <c r="G4" s="195" t="s">
        <v>220</v>
      </c>
      <c r="H4" s="195" t="s">
        <v>196</v>
      </c>
      <c r="I4" s="181" t="s">
        <v>241</v>
      </c>
      <c r="J4" s="195" t="s">
        <v>222</v>
      </c>
      <c r="K4" s="195" t="s">
        <v>144</v>
      </c>
      <c r="L4" s="196" t="s">
        <v>238</v>
      </c>
      <c r="M4" s="195" t="s">
        <v>231</v>
      </c>
      <c r="N4" s="195" t="s">
        <v>225</v>
      </c>
      <c r="O4" s="195" t="s">
        <v>145</v>
      </c>
      <c r="P4" s="195" t="s">
        <v>151</v>
      </c>
      <c r="Q4" s="195" t="s">
        <v>230</v>
      </c>
      <c r="R4" s="195" t="s">
        <v>190</v>
      </c>
      <c r="S4" s="196" t="s">
        <v>140</v>
      </c>
      <c r="T4" s="196" t="s">
        <v>155</v>
      </c>
      <c r="U4" s="195" t="s">
        <v>237</v>
      </c>
      <c r="V4" s="195" t="s">
        <v>211</v>
      </c>
      <c r="W4" s="195" t="s">
        <v>212</v>
      </c>
      <c r="X4" s="195" t="s">
        <v>236</v>
      </c>
      <c r="Y4" s="195" t="s">
        <v>233</v>
      </c>
      <c r="Z4" s="195" t="s">
        <v>207</v>
      </c>
      <c r="AA4" s="28" t="s">
        <v>11</v>
      </c>
      <c r="AB4" s="24" t="s">
        <v>37</v>
      </c>
    </row>
    <row r="5" spans="1:30" ht="15.75">
      <c r="A5" s="194" t="s">
        <v>110</v>
      </c>
      <c r="B5" s="53">
        <v>27.5</v>
      </c>
      <c r="C5" s="53">
        <v>25</v>
      </c>
      <c r="D5" s="53"/>
      <c r="E5" s="53">
        <v>17.5</v>
      </c>
      <c r="F5" s="53">
        <v>18.5</v>
      </c>
      <c r="G5" s="53"/>
      <c r="H5" s="53"/>
      <c r="I5" s="53">
        <v>23</v>
      </c>
      <c r="J5" s="53"/>
      <c r="K5" s="53"/>
      <c r="L5" s="53"/>
      <c r="M5" s="53"/>
      <c r="N5" s="53"/>
      <c r="O5" s="53"/>
      <c r="P5" s="53"/>
      <c r="Q5" s="53">
        <v>30</v>
      </c>
      <c r="R5" s="53"/>
      <c r="S5" s="53"/>
      <c r="T5" s="53">
        <v>32</v>
      </c>
      <c r="U5" s="53"/>
      <c r="V5" s="53"/>
      <c r="W5" s="53"/>
      <c r="X5" s="53"/>
      <c r="Y5" s="53">
        <v>32.5</v>
      </c>
      <c r="Z5" s="53"/>
      <c r="AA5" s="75">
        <f aca="true" t="shared" si="0" ref="AA5:AA17">AVERAGE(B5:Z5)</f>
        <v>25.75</v>
      </c>
      <c r="AB5" s="33">
        <f aca="true" t="shared" si="1" ref="AB5:AB17">RANK(AA5,$AA$5:$AA$17)</f>
        <v>11</v>
      </c>
      <c r="AD5">
        <f>COUNTA(B5:Z5)</f>
        <v>8</v>
      </c>
    </row>
    <row r="6" spans="1:30" ht="15.75">
      <c r="A6" s="194" t="s">
        <v>111</v>
      </c>
      <c r="B6" s="53">
        <v>27.5</v>
      </c>
      <c r="C6" s="53">
        <v>37.5</v>
      </c>
      <c r="D6" s="53">
        <v>27.5</v>
      </c>
      <c r="E6" s="53">
        <v>37.5</v>
      </c>
      <c r="F6" s="53">
        <v>27.5</v>
      </c>
      <c r="G6" s="53"/>
      <c r="H6" s="53"/>
      <c r="I6" s="53">
        <v>36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>
        <v>29</v>
      </c>
      <c r="U6" s="53"/>
      <c r="V6" s="53">
        <v>39</v>
      </c>
      <c r="W6" s="53">
        <v>35</v>
      </c>
      <c r="X6" s="53"/>
      <c r="Y6" s="53"/>
      <c r="Z6" s="53"/>
      <c r="AA6" s="75">
        <f t="shared" si="0"/>
        <v>32.94444444444444</v>
      </c>
      <c r="AB6" s="33">
        <f t="shared" si="1"/>
        <v>8</v>
      </c>
      <c r="AD6">
        <f aca="true" t="shared" si="2" ref="AD6:AD17">COUNTA(B6:Z6)</f>
        <v>9</v>
      </c>
    </row>
    <row r="7" spans="1:30" ht="15.75">
      <c r="A7" s="194" t="s">
        <v>112</v>
      </c>
      <c r="B7" s="53">
        <v>27.5</v>
      </c>
      <c r="C7" s="53"/>
      <c r="D7" s="53"/>
      <c r="E7" s="53">
        <v>37.5</v>
      </c>
      <c r="F7" s="53"/>
      <c r="G7" s="53"/>
      <c r="H7" s="53"/>
      <c r="I7" s="53"/>
      <c r="J7" s="53"/>
      <c r="K7" s="53">
        <v>40</v>
      </c>
      <c r="L7" s="53">
        <v>40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>
        <v>42.5</v>
      </c>
      <c r="Z7" s="53"/>
      <c r="AA7" s="75">
        <f t="shared" si="0"/>
        <v>37.5</v>
      </c>
      <c r="AB7" s="33">
        <f t="shared" si="1"/>
        <v>5</v>
      </c>
      <c r="AD7">
        <f t="shared" si="2"/>
        <v>5</v>
      </c>
    </row>
    <row r="8" spans="1:30" ht="15.75">
      <c r="A8" s="194" t="s">
        <v>113</v>
      </c>
      <c r="B8" s="53">
        <v>30</v>
      </c>
      <c r="C8" s="53"/>
      <c r="D8" s="53"/>
      <c r="E8" s="53"/>
      <c r="F8" s="53"/>
      <c r="G8" s="53"/>
      <c r="H8" s="53"/>
      <c r="I8" s="53"/>
      <c r="J8" s="53"/>
      <c r="K8" s="53">
        <v>40</v>
      </c>
      <c r="L8" s="53">
        <v>30</v>
      </c>
      <c r="M8" s="53"/>
      <c r="N8" s="53">
        <v>35</v>
      </c>
      <c r="O8" s="53"/>
      <c r="P8" s="53"/>
      <c r="Q8" s="53"/>
      <c r="R8" s="53"/>
      <c r="S8" s="53"/>
      <c r="T8" s="53"/>
      <c r="U8" s="53"/>
      <c r="V8" s="53">
        <v>40</v>
      </c>
      <c r="W8" s="53"/>
      <c r="X8" s="53"/>
      <c r="Y8" s="53">
        <v>40</v>
      </c>
      <c r="Z8" s="211"/>
      <c r="AA8" s="75">
        <f t="shared" si="0"/>
        <v>35.833333333333336</v>
      </c>
      <c r="AB8" s="33">
        <f t="shared" si="1"/>
        <v>7</v>
      </c>
      <c r="AD8">
        <f t="shared" si="2"/>
        <v>6</v>
      </c>
    </row>
    <row r="9" spans="1:30" ht="15.75">
      <c r="A9" s="194" t="s">
        <v>114</v>
      </c>
      <c r="B9" s="53"/>
      <c r="C9" s="53"/>
      <c r="D9" s="53"/>
      <c r="E9" s="53"/>
      <c r="F9" s="53"/>
      <c r="G9" s="53"/>
      <c r="H9" s="53"/>
      <c r="I9" s="53"/>
      <c r="J9" s="53">
        <v>44.5</v>
      </c>
      <c r="K9" s="53">
        <v>41</v>
      </c>
      <c r="L9" s="53">
        <v>40</v>
      </c>
      <c r="M9" s="53">
        <v>35</v>
      </c>
      <c r="N9" s="53">
        <v>40</v>
      </c>
      <c r="O9" s="53"/>
      <c r="P9" s="53"/>
      <c r="Q9" s="53"/>
      <c r="R9" s="53"/>
      <c r="S9" s="53"/>
      <c r="T9" s="53"/>
      <c r="U9" s="53"/>
      <c r="V9" s="53"/>
      <c r="W9" s="53">
        <v>35</v>
      </c>
      <c r="X9" s="53"/>
      <c r="Y9" s="53"/>
      <c r="Z9" s="53">
        <v>37.5</v>
      </c>
      <c r="AA9" s="75">
        <f t="shared" si="0"/>
        <v>39</v>
      </c>
      <c r="AB9" s="33">
        <f t="shared" si="1"/>
        <v>3</v>
      </c>
      <c r="AD9">
        <f t="shared" si="2"/>
        <v>7</v>
      </c>
    </row>
    <row r="10" spans="1:30" ht="15.75">
      <c r="A10" s="194" t="s">
        <v>115</v>
      </c>
      <c r="B10" s="53"/>
      <c r="C10" s="53"/>
      <c r="D10" s="53"/>
      <c r="E10" s="53"/>
      <c r="F10" s="53"/>
      <c r="G10" s="53"/>
      <c r="H10" s="53"/>
      <c r="I10" s="53"/>
      <c r="J10" s="53"/>
      <c r="K10" s="53">
        <v>41</v>
      </c>
      <c r="L10" s="53">
        <v>42.5</v>
      </c>
      <c r="M10" s="53">
        <v>32.5</v>
      </c>
      <c r="N10" s="53">
        <v>40</v>
      </c>
      <c r="O10" s="53"/>
      <c r="P10" s="53"/>
      <c r="Q10" s="53">
        <v>45</v>
      </c>
      <c r="R10" s="53">
        <v>37.5</v>
      </c>
      <c r="S10" s="53"/>
      <c r="T10" s="53"/>
      <c r="U10" s="53"/>
      <c r="V10" s="53"/>
      <c r="W10" s="53"/>
      <c r="X10" s="53"/>
      <c r="Y10" s="53"/>
      <c r="Z10" s="53"/>
      <c r="AA10" s="75">
        <f t="shared" si="0"/>
        <v>39.75</v>
      </c>
      <c r="AB10" s="33">
        <f t="shared" si="1"/>
        <v>2</v>
      </c>
      <c r="AD10">
        <f t="shared" si="2"/>
        <v>6</v>
      </c>
    </row>
    <row r="11" spans="1:30" ht="15.75">
      <c r="A11" s="194" t="s">
        <v>116</v>
      </c>
      <c r="B11" s="53"/>
      <c r="C11" s="53"/>
      <c r="D11" s="53"/>
      <c r="E11" s="53"/>
      <c r="F11" s="53">
        <v>31.5</v>
      </c>
      <c r="G11" s="53"/>
      <c r="H11" s="53"/>
      <c r="I11" s="53"/>
      <c r="J11" s="53"/>
      <c r="K11" s="53"/>
      <c r="L11" s="53"/>
      <c r="M11" s="53">
        <v>32.5</v>
      </c>
      <c r="N11" s="53"/>
      <c r="O11" s="53"/>
      <c r="P11" s="53">
        <v>50</v>
      </c>
      <c r="Q11" s="53">
        <v>35</v>
      </c>
      <c r="R11" s="53">
        <v>37.5</v>
      </c>
      <c r="S11" s="53">
        <v>38</v>
      </c>
      <c r="T11" s="53"/>
      <c r="U11" s="53"/>
      <c r="V11" s="53"/>
      <c r="W11" s="53"/>
      <c r="X11" s="53"/>
      <c r="Y11" s="53"/>
      <c r="Z11" s="211"/>
      <c r="AA11" s="75">
        <f t="shared" si="0"/>
        <v>37.416666666666664</v>
      </c>
      <c r="AB11" s="33">
        <f t="shared" si="1"/>
        <v>6</v>
      </c>
      <c r="AD11">
        <f t="shared" si="2"/>
        <v>6</v>
      </c>
    </row>
    <row r="12" spans="1:30" ht="15.75">
      <c r="A12" s="194" t="s">
        <v>117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>
        <v>47.5</v>
      </c>
      <c r="Q12" s="53"/>
      <c r="R12" s="53">
        <v>35</v>
      </c>
      <c r="S12" s="53">
        <v>44</v>
      </c>
      <c r="T12" s="53"/>
      <c r="U12" s="53">
        <v>34</v>
      </c>
      <c r="V12" s="53"/>
      <c r="W12" s="53"/>
      <c r="X12" s="53">
        <v>33.5</v>
      </c>
      <c r="Y12" s="53"/>
      <c r="Z12" s="211"/>
      <c r="AA12" s="75">
        <f t="shared" si="0"/>
        <v>38.8</v>
      </c>
      <c r="AB12" s="33">
        <f t="shared" si="1"/>
        <v>4</v>
      </c>
      <c r="AD12">
        <f t="shared" si="2"/>
        <v>5</v>
      </c>
    </row>
    <row r="13" spans="1:30" ht="15.75">
      <c r="A13" s="194" t="s">
        <v>118</v>
      </c>
      <c r="B13" s="53"/>
      <c r="C13" s="53"/>
      <c r="D13" s="53"/>
      <c r="E13" s="53"/>
      <c r="F13" s="53"/>
      <c r="G13" s="53"/>
      <c r="H13" s="53">
        <v>34</v>
      </c>
      <c r="I13" s="53"/>
      <c r="J13" s="53"/>
      <c r="K13" s="53"/>
      <c r="L13" s="53"/>
      <c r="M13" s="53"/>
      <c r="N13" s="53"/>
      <c r="O13" s="53"/>
      <c r="P13" s="53">
        <v>50</v>
      </c>
      <c r="Q13" s="53"/>
      <c r="R13" s="53"/>
      <c r="S13" s="53">
        <v>45</v>
      </c>
      <c r="T13" s="53">
        <v>40</v>
      </c>
      <c r="U13" s="53">
        <v>40</v>
      </c>
      <c r="V13" s="53"/>
      <c r="W13" s="53"/>
      <c r="X13" s="53">
        <v>39</v>
      </c>
      <c r="Y13" s="53"/>
      <c r="Z13" s="53"/>
      <c r="AA13" s="75">
        <f t="shared" si="0"/>
        <v>41.333333333333336</v>
      </c>
      <c r="AB13" s="33">
        <f t="shared" si="1"/>
        <v>1</v>
      </c>
      <c r="AD13">
        <f t="shared" si="2"/>
        <v>6</v>
      </c>
    </row>
    <row r="14" spans="1:30" ht="15.75">
      <c r="A14" s="194" t="s">
        <v>119</v>
      </c>
      <c r="B14" s="53"/>
      <c r="C14" s="53"/>
      <c r="D14" s="53"/>
      <c r="E14" s="53"/>
      <c r="F14" s="53"/>
      <c r="G14" s="53"/>
      <c r="H14" s="53">
        <v>26</v>
      </c>
      <c r="I14" s="53"/>
      <c r="J14" s="53"/>
      <c r="K14" s="53"/>
      <c r="L14" s="53"/>
      <c r="M14" s="53"/>
      <c r="N14" s="53"/>
      <c r="O14" s="53"/>
      <c r="P14" s="53">
        <v>37.5</v>
      </c>
      <c r="Q14" s="53"/>
      <c r="R14" s="53"/>
      <c r="S14" s="53">
        <v>23.5</v>
      </c>
      <c r="T14" s="53"/>
      <c r="U14" s="53">
        <v>27</v>
      </c>
      <c r="V14" s="53">
        <v>36</v>
      </c>
      <c r="W14" s="53"/>
      <c r="X14" s="53">
        <v>17</v>
      </c>
      <c r="Y14" s="53"/>
      <c r="Z14" s="53"/>
      <c r="AA14" s="75">
        <f t="shared" si="0"/>
        <v>27.833333333333332</v>
      </c>
      <c r="AB14" s="33">
        <f t="shared" si="1"/>
        <v>9</v>
      </c>
      <c r="AD14">
        <f t="shared" si="2"/>
        <v>6</v>
      </c>
    </row>
    <row r="15" spans="1:30" ht="15.75">
      <c r="A15" s="194" t="s">
        <v>120</v>
      </c>
      <c r="B15" s="53"/>
      <c r="C15" s="53"/>
      <c r="D15" s="53"/>
      <c r="E15" s="53"/>
      <c r="F15" s="53"/>
      <c r="G15" s="53">
        <v>40</v>
      </c>
      <c r="H15" s="53">
        <v>25.5</v>
      </c>
      <c r="I15" s="53"/>
      <c r="J15" s="53">
        <v>25</v>
      </c>
      <c r="K15" s="53"/>
      <c r="L15" s="53"/>
      <c r="M15" s="53"/>
      <c r="N15" s="53"/>
      <c r="O15" s="53"/>
      <c r="P15" s="53"/>
      <c r="Q15" s="53">
        <v>25</v>
      </c>
      <c r="R15" s="53"/>
      <c r="S15" s="53"/>
      <c r="T15" s="53"/>
      <c r="U15" s="53">
        <v>21</v>
      </c>
      <c r="V15" s="53"/>
      <c r="W15" s="53"/>
      <c r="X15" s="53">
        <v>16.5</v>
      </c>
      <c r="Y15" s="53"/>
      <c r="Z15" s="53">
        <v>37</v>
      </c>
      <c r="AA15" s="75">
        <f t="shared" si="0"/>
        <v>27.142857142857142</v>
      </c>
      <c r="AB15" s="33">
        <f t="shared" si="1"/>
        <v>10</v>
      </c>
      <c r="AD15">
        <f t="shared" si="2"/>
        <v>7</v>
      </c>
    </row>
    <row r="16" spans="1:30" ht="15.75">
      <c r="A16" s="194" t="s">
        <v>121</v>
      </c>
      <c r="B16" s="53"/>
      <c r="C16" s="53"/>
      <c r="D16" s="53"/>
      <c r="E16" s="53">
        <v>17.5</v>
      </c>
      <c r="F16" s="53">
        <v>19.5</v>
      </c>
      <c r="G16" s="53">
        <v>22.5</v>
      </c>
      <c r="H16" s="53">
        <v>16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>
        <v>27.5</v>
      </c>
      <c r="X16" s="53"/>
      <c r="Y16" s="53"/>
      <c r="Z16" s="53">
        <v>30</v>
      </c>
      <c r="AA16" s="75">
        <f t="shared" si="0"/>
        <v>22.166666666666668</v>
      </c>
      <c r="AB16" s="33">
        <f t="shared" si="1"/>
        <v>12</v>
      </c>
      <c r="AD16">
        <f t="shared" si="2"/>
        <v>6</v>
      </c>
    </row>
    <row r="17" spans="1:30" ht="15.75">
      <c r="A17" s="194" t="s">
        <v>122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>
        <v>0</v>
      </c>
      <c r="AA17" s="75">
        <f t="shared" si="0"/>
        <v>0</v>
      </c>
      <c r="AB17" s="33">
        <f t="shared" si="1"/>
        <v>13</v>
      </c>
      <c r="AD17">
        <f t="shared" si="2"/>
        <v>1</v>
      </c>
    </row>
    <row r="18" spans="1:27" ht="12.75">
      <c r="A18" s="27"/>
      <c r="Z18" t="s">
        <v>96</v>
      </c>
      <c r="AA18" s="2"/>
    </row>
    <row r="19" spans="1:27" ht="12.75">
      <c r="A19" s="27"/>
      <c r="AA19" s="2"/>
    </row>
    <row r="20" spans="1:2" ht="12.75">
      <c r="A20" s="27"/>
      <c r="B20" s="181"/>
    </row>
    <row r="23" ht="12.75">
      <c r="A23" s="27"/>
    </row>
    <row r="24" spans="1:18" ht="12.75">
      <c r="A24" s="27"/>
      <c r="R24" s="195"/>
    </row>
    <row r="25" spans="1:18" ht="12.75">
      <c r="A25" s="27"/>
      <c r="R25" s="195"/>
    </row>
    <row r="26" ht="12.75">
      <c r="A26" s="27"/>
    </row>
    <row r="27" ht="12.75">
      <c r="A27" s="27"/>
    </row>
    <row r="28" ht="12.75">
      <c r="A28" s="27"/>
    </row>
  </sheetData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D28" sqref="D28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4" width="11.140625" style="0" customWidth="1"/>
  </cols>
  <sheetData>
    <row r="1" spans="1:5" ht="18.75">
      <c r="A1" s="9" t="s">
        <v>126</v>
      </c>
      <c r="B1" s="7"/>
      <c r="C1" s="7"/>
      <c r="D1" s="7"/>
      <c r="E1" s="7"/>
    </row>
    <row r="2" spans="1:5" s="80" customFormat="1" ht="12.75">
      <c r="A2" s="43"/>
      <c r="B2" s="43"/>
      <c r="C2" s="43"/>
      <c r="D2" s="43"/>
      <c r="E2" s="43"/>
    </row>
    <row r="3" spans="1:5" s="80" customFormat="1" ht="12.75">
      <c r="A3" s="43"/>
      <c r="B3" s="43"/>
      <c r="C3" s="81" t="s">
        <v>55</v>
      </c>
      <c r="D3" s="99">
        <f>MAX(B7:B19)</f>
        <v>2624.36</v>
      </c>
      <c r="E3" s="43"/>
    </row>
    <row r="4" spans="1:5" s="80" customFormat="1" ht="12.75">
      <c r="A4" s="43"/>
      <c r="B4" s="43"/>
      <c r="C4" s="81" t="s">
        <v>56</v>
      </c>
      <c r="D4" s="99">
        <f>MIN(B7:B19)</f>
        <v>919.31</v>
      </c>
      <c r="E4" s="43"/>
    </row>
    <row r="5" spans="1:5" s="80" customFormat="1" ht="12.75">
      <c r="A5" s="29"/>
      <c r="B5" s="29"/>
      <c r="C5" s="29"/>
      <c r="D5" s="29"/>
      <c r="E5" s="43"/>
    </row>
    <row r="6" spans="1:5" ht="12.75">
      <c r="A6" s="29"/>
      <c r="B6" s="44" t="s">
        <v>40</v>
      </c>
      <c r="C6" s="28" t="s">
        <v>11</v>
      </c>
      <c r="D6" s="28" t="s">
        <v>37</v>
      </c>
      <c r="E6" s="7"/>
    </row>
    <row r="7" spans="1:5" ht="15.75">
      <c r="A7" s="194" t="s">
        <v>110</v>
      </c>
      <c r="B7" s="191">
        <v>1124.75</v>
      </c>
      <c r="C7" s="69">
        <f>50*(($D$3/B7)^2-1)/(($D$3/$D$4)^2-1)</f>
        <v>31.081222259711488</v>
      </c>
      <c r="D7" s="59">
        <f>RANK(C7,$C$7:$C$19)</f>
        <v>5</v>
      </c>
      <c r="E7" s="7"/>
    </row>
    <row r="8" spans="1:5" ht="15.75">
      <c r="A8" s="194" t="s">
        <v>111</v>
      </c>
      <c r="B8" s="191">
        <v>1488.2</v>
      </c>
      <c r="C8" s="69">
        <f aca="true" t="shared" si="0" ref="C8:C19">50*(($D$3/B8)^2-1)/(($D$3/$D$4)^2-1)</f>
        <v>14.754779509008834</v>
      </c>
      <c r="D8" s="59">
        <f>RANK(C8,$C$7:$C$19)</f>
        <v>11</v>
      </c>
      <c r="E8" s="7"/>
    </row>
    <row r="9" spans="1:5" ht="15.75">
      <c r="A9" s="194" t="s">
        <v>112</v>
      </c>
      <c r="B9" s="191">
        <v>1090.75</v>
      </c>
      <c r="C9" s="69">
        <f t="shared" si="0"/>
        <v>33.49189704696782</v>
      </c>
      <c r="D9" s="59">
        <f aca="true" t="shared" si="1" ref="D9:D19">RANK(C9,$C$7:$C$19)</f>
        <v>3</v>
      </c>
      <c r="E9" s="7"/>
    </row>
    <row r="10" spans="1:5" ht="15.75">
      <c r="A10" s="194" t="s">
        <v>113</v>
      </c>
      <c r="B10" s="191">
        <v>1118.2</v>
      </c>
      <c r="C10" s="69">
        <f t="shared" si="0"/>
        <v>31.52858551932792</v>
      </c>
      <c r="D10" s="59">
        <f t="shared" si="1"/>
        <v>4</v>
      </c>
      <c r="E10" s="7"/>
    </row>
    <row r="11" spans="1:5" ht="15.75">
      <c r="A11" s="194" t="s">
        <v>114</v>
      </c>
      <c r="B11" s="191">
        <v>1472.24</v>
      </c>
      <c r="C11" s="69">
        <f t="shared" si="0"/>
        <v>15.22886834140812</v>
      </c>
      <c r="D11" s="59">
        <f t="shared" si="1"/>
        <v>10</v>
      </c>
      <c r="E11" s="7"/>
    </row>
    <row r="12" spans="1:5" ht="15.75">
      <c r="A12" s="194" t="s">
        <v>115</v>
      </c>
      <c r="B12" s="191">
        <v>1317.74</v>
      </c>
      <c r="C12" s="69">
        <f t="shared" si="0"/>
        <v>20.745364125077682</v>
      </c>
      <c r="D12" s="59">
        <f t="shared" si="1"/>
        <v>8</v>
      </c>
      <c r="E12" s="7"/>
    </row>
    <row r="13" spans="1:5" ht="15.75">
      <c r="A13" s="194" t="s">
        <v>116</v>
      </c>
      <c r="B13" s="191">
        <v>919.31</v>
      </c>
      <c r="C13" s="69">
        <f t="shared" si="0"/>
        <v>50</v>
      </c>
      <c r="D13" s="59">
        <f t="shared" si="1"/>
        <v>1</v>
      </c>
      <c r="E13" s="7"/>
    </row>
    <row r="14" spans="1:5" ht="31.5">
      <c r="A14" s="194" t="s">
        <v>117</v>
      </c>
      <c r="B14" s="191">
        <v>1310.2</v>
      </c>
      <c r="C14" s="69">
        <f t="shared" si="0"/>
        <v>21.065550276511974</v>
      </c>
      <c r="D14" s="59">
        <f t="shared" si="1"/>
        <v>7</v>
      </c>
      <c r="E14" s="7"/>
    </row>
    <row r="15" spans="1:5" ht="15.75">
      <c r="A15" s="194" t="s">
        <v>118</v>
      </c>
      <c r="B15" s="191">
        <v>945</v>
      </c>
      <c r="C15" s="69">
        <f t="shared" si="0"/>
        <v>46.94335467222264</v>
      </c>
      <c r="D15" s="59">
        <f t="shared" si="1"/>
        <v>2</v>
      </c>
      <c r="E15" s="7"/>
    </row>
    <row r="16" spans="1:5" ht="15.75">
      <c r="A16" s="194" t="s">
        <v>119</v>
      </c>
      <c r="B16" s="191">
        <v>1129.23</v>
      </c>
      <c r="C16" s="69">
        <f t="shared" si="0"/>
        <v>30.779712305389815</v>
      </c>
      <c r="D16" s="59">
        <f t="shared" si="1"/>
        <v>6</v>
      </c>
      <c r="E16" s="192"/>
    </row>
    <row r="17" spans="1:5" ht="15.75">
      <c r="A17" s="194" t="s">
        <v>120</v>
      </c>
      <c r="B17" s="191">
        <v>2624.36</v>
      </c>
      <c r="C17" s="69">
        <f>50*(($D$3/B17)^2-1)/(($D$3/$D$4)^2-1)</f>
        <v>0</v>
      </c>
      <c r="D17" s="59">
        <f t="shared" si="1"/>
        <v>13</v>
      </c>
      <c r="E17" s="7"/>
    </row>
    <row r="18" spans="1:5" ht="15.75">
      <c r="A18" s="194" t="s">
        <v>121</v>
      </c>
      <c r="B18" s="191">
        <v>1336.75</v>
      </c>
      <c r="C18" s="69">
        <f t="shared" si="0"/>
        <v>19.96201787652824</v>
      </c>
      <c r="D18" s="59">
        <f t="shared" si="1"/>
        <v>9</v>
      </c>
      <c r="E18" s="7"/>
    </row>
    <row r="19" spans="1:5" ht="15.75">
      <c r="A19" s="194" t="s">
        <v>122</v>
      </c>
      <c r="B19" s="191">
        <v>1700</v>
      </c>
      <c r="C19" s="69">
        <f t="shared" si="0"/>
        <v>9.673167867359286</v>
      </c>
      <c r="D19" s="59">
        <f t="shared" si="1"/>
        <v>12</v>
      </c>
      <c r="E19" s="7"/>
    </row>
    <row r="20" spans="1:5" ht="12.75">
      <c r="A20" s="27"/>
      <c r="B20" s="56"/>
      <c r="C20" s="45"/>
      <c r="D20" s="59"/>
      <c r="E20" s="7"/>
    </row>
    <row r="21" spans="1:5" ht="12.75">
      <c r="A21" s="27"/>
      <c r="B21" s="180"/>
      <c r="C21" s="45"/>
      <c r="D21" s="59"/>
      <c r="E21" s="7"/>
    </row>
    <row r="22" spans="1:5" ht="12.75">
      <c r="A22" s="27"/>
      <c r="B22" s="180"/>
      <c r="C22" s="45"/>
      <c r="D22" s="59"/>
      <c r="E22" s="7"/>
    </row>
    <row r="23" spans="1:5" ht="12.75">
      <c r="A23" s="27"/>
      <c r="B23" s="180"/>
      <c r="C23" s="45"/>
      <c r="D23" s="59"/>
      <c r="E23" s="7"/>
    </row>
    <row r="24" spans="1:5" ht="12.75">
      <c r="A24" s="27"/>
      <c r="B24" s="180"/>
      <c r="C24" s="45"/>
      <c r="D24" s="59"/>
      <c r="E24" s="7"/>
    </row>
    <row r="25" spans="1:5" ht="12.75">
      <c r="A25" s="27"/>
      <c r="B25" s="180"/>
      <c r="C25" s="45"/>
      <c r="D25" s="59"/>
      <c r="E25" s="7"/>
    </row>
    <row r="26" spans="1:5" ht="12.75">
      <c r="A26" s="27"/>
      <c r="B26" s="180"/>
      <c r="C26" s="45"/>
      <c r="D26" s="59"/>
      <c r="E26" s="7"/>
    </row>
    <row r="27" spans="1:5" ht="12.75">
      <c r="A27" s="27"/>
      <c r="B27" s="180"/>
      <c r="C27" s="45"/>
      <c r="D27" s="59"/>
      <c r="E27" s="7"/>
    </row>
    <row r="28" spans="1:5" ht="12.75">
      <c r="A28" s="27"/>
      <c r="B28" s="180"/>
      <c r="C28" s="45"/>
      <c r="D28" s="59"/>
      <c r="E28" s="7"/>
    </row>
    <row r="29" spans="1:5" ht="12.75">
      <c r="A29" s="27"/>
      <c r="B29" s="56"/>
      <c r="C29" s="45"/>
      <c r="D29" s="59"/>
      <c r="E29" s="7"/>
    </row>
    <row r="30" spans="1:5" ht="12.75">
      <c r="A30" s="27"/>
      <c r="B30" s="56"/>
      <c r="C30" s="45"/>
      <c r="D30" s="59"/>
      <c r="E30" s="7"/>
    </row>
    <row r="31" spans="1:5" ht="12.75">
      <c r="A31" s="27"/>
      <c r="B31" s="56"/>
      <c r="C31" s="45"/>
      <c r="D31" s="59"/>
      <c r="E31" s="7"/>
    </row>
    <row r="32" spans="1:5" ht="12.75">
      <c r="A32" s="27"/>
      <c r="B32" s="56"/>
      <c r="C32" s="45"/>
      <c r="D32" s="59"/>
      <c r="E32" s="7"/>
    </row>
    <row r="33" spans="1:4" ht="12.75">
      <c r="A33" s="27"/>
      <c r="B33" s="57"/>
      <c r="C33" s="45"/>
      <c r="D33" s="59"/>
    </row>
    <row r="34" spans="1:4" ht="12.75">
      <c r="A34" s="1"/>
      <c r="B34" s="1"/>
      <c r="C34" s="29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</sheetData>
  <printOptions/>
  <pageMargins left="0.75" right="0.75" top="1" bottom="1" header="0.5" footer="0.5"/>
  <pageSetup fitToHeight="1" fitToWidth="1" horizontalDpi="300" verticalDpi="3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F6" sqref="F6"/>
    </sheetView>
  </sheetViews>
  <sheetFormatPr defaultColWidth="9.140625" defaultRowHeight="12.75"/>
  <cols>
    <col min="1" max="1" width="34.28125" style="0" customWidth="1"/>
    <col min="2" max="3" width="10.57421875" style="0" customWidth="1"/>
    <col min="4" max="4" width="14.8515625" style="0" customWidth="1"/>
    <col min="5" max="5" width="10.140625" style="0" customWidth="1"/>
    <col min="6" max="6" width="12.421875" style="0" customWidth="1"/>
    <col min="8" max="8" width="7.140625" style="0" customWidth="1"/>
    <col min="11" max="11" width="19.140625" style="0" customWidth="1"/>
  </cols>
  <sheetData>
    <row r="1" spans="1:11" ht="18.75">
      <c r="A1" s="9" t="s">
        <v>127</v>
      </c>
      <c r="B1" s="9"/>
      <c r="C1" s="9"/>
      <c r="D1" s="7"/>
      <c r="E1" s="7" t="s">
        <v>0</v>
      </c>
      <c r="F1" s="171">
        <f>MAX(D6:D18)</f>
        <v>6.803149606299213</v>
      </c>
      <c r="G1" s="7" t="s">
        <v>13</v>
      </c>
      <c r="H1" s="76" t="s">
        <v>41</v>
      </c>
      <c r="K1" s="77"/>
    </row>
    <row r="2" spans="1:11" ht="12.75">
      <c r="A2" s="7"/>
      <c r="B2" s="7"/>
      <c r="C2" s="7"/>
      <c r="D2" s="7"/>
      <c r="E2" s="7" t="s">
        <v>1</v>
      </c>
      <c r="F2" s="171">
        <f>MIN(D6:D18)</f>
        <v>5.28</v>
      </c>
      <c r="G2" s="7" t="s">
        <v>13</v>
      </c>
      <c r="H2" s="76" t="s">
        <v>42</v>
      </c>
      <c r="K2" s="77"/>
    </row>
    <row r="3" spans="1:11" ht="12.75">
      <c r="A3" s="12"/>
      <c r="B3" s="12"/>
      <c r="C3" s="12"/>
      <c r="D3" s="58"/>
      <c r="E3" s="7" t="s">
        <v>15</v>
      </c>
      <c r="F3" s="154">
        <v>90</v>
      </c>
      <c r="G3" s="7" t="s">
        <v>14</v>
      </c>
      <c r="H3" s="76" t="s">
        <v>43</v>
      </c>
      <c r="K3" s="77"/>
    </row>
    <row r="4" spans="1:12" ht="12.75">
      <c r="A4" s="14"/>
      <c r="B4" s="14"/>
      <c r="C4" s="14"/>
      <c r="D4" s="14"/>
      <c r="E4" s="14"/>
      <c r="F4" s="7"/>
      <c r="G4" s="7"/>
      <c r="J4" s="7"/>
      <c r="K4" s="78"/>
      <c r="L4" s="78"/>
    </row>
    <row r="5" spans="1:12" ht="38.25">
      <c r="A5" s="13"/>
      <c r="B5" s="44" t="s">
        <v>65</v>
      </c>
      <c r="C5" s="44" t="s">
        <v>182</v>
      </c>
      <c r="D5" s="44" t="s">
        <v>181</v>
      </c>
      <c r="E5" s="44" t="s">
        <v>12</v>
      </c>
      <c r="F5" s="41" t="s">
        <v>11</v>
      </c>
      <c r="G5" s="41" t="s">
        <v>37</v>
      </c>
      <c r="I5" s="41"/>
      <c r="L5" s="41"/>
    </row>
    <row r="6" spans="1:12" ht="15.75">
      <c r="A6" s="194" t="s">
        <v>111</v>
      </c>
      <c r="B6" s="27" t="s">
        <v>75</v>
      </c>
      <c r="C6" s="213">
        <v>6.04</v>
      </c>
      <c r="D6" s="148">
        <f>C6</f>
        <v>6.04</v>
      </c>
      <c r="E6" s="214">
        <f aca="true" t="shared" si="0" ref="E6:E13">$F$3/D6</f>
        <v>14.900662251655628</v>
      </c>
      <c r="F6" s="21">
        <f aca="true" t="shared" si="1" ref="F6:F13">100+(((($F$1/D6)^2-1)/(($F$1/$F$2)^2-1))*100)</f>
        <v>140.6960706561971</v>
      </c>
      <c r="G6" s="25">
        <f>RANK($F6,$F$6:$F$13)</f>
        <v>4</v>
      </c>
      <c r="I6" s="79"/>
      <c r="L6" s="7"/>
    </row>
    <row r="7" spans="1:12" ht="15.75">
      <c r="A7" s="194" t="s">
        <v>112</v>
      </c>
      <c r="B7" s="27" t="s">
        <v>75</v>
      </c>
      <c r="C7" s="213">
        <v>5.81</v>
      </c>
      <c r="D7" s="148">
        <f>C7</f>
        <v>5.81</v>
      </c>
      <c r="E7" s="214">
        <f t="shared" si="0"/>
        <v>15.490533562822721</v>
      </c>
      <c r="F7" s="21">
        <f t="shared" si="1"/>
        <v>156.21226523596738</v>
      </c>
      <c r="G7" s="25">
        <f aca="true" t="shared" si="2" ref="G7:G13">RANK($F7,$F$6:$F$13)</f>
        <v>2</v>
      </c>
      <c r="I7" s="79"/>
      <c r="L7" s="7"/>
    </row>
    <row r="8" spans="1:12" ht="15.75">
      <c r="A8" s="194" t="s">
        <v>114</v>
      </c>
      <c r="B8" s="27" t="s">
        <v>76</v>
      </c>
      <c r="C8" s="213">
        <v>8.64</v>
      </c>
      <c r="D8" s="148">
        <f>C8/1.27</f>
        <v>6.803149606299213</v>
      </c>
      <c r="E8" s="214">
        <f t="shared" si="0"/>
        <v>13.229166666666666</v>
      </c>
      <c r="F8" s="21">
        <f t="shared" si="1"/>
        <v>100</v>
      </c>
      <c r="G8" s="25">
        <f t="shared" si="2"/>
        <v>8</v>
      </c>
      <c r="I8" s="79"/>
      <c r="K8" s="199" t="s">
        <v>183</v>
      </c>
      <c r="L8" s="7"/>
    </row>
    <row r="9" spans="1:12" ht="15.75">
      <c r="A9" s="194" t="s">
        <v>115</v>
      </c>
      <c r="B9" s="27" t="s">
        <v>75</v>
      </c>
      <c r="C9" s="213">
        <v>6.34</v>
      </c>
      <c r="D9" s="148">
        <f>C9</f>
        <v>6.34</v>
      </c>
      <c r="E9" s="214">
        <f t="shared" si="0"/>
        <v>14.195583596214512</v>
      </c>
      <c r="F9" s="21">
        <f t="shared" si="1"/>
        <v>122.93968049304706</v>
      </c>
      <c r="G9" s="25">
        <f t="shared" si="2"/>
        <v>6</v>
      </c>
      <c r="I9" s="79"/>
      <c r="L9" s="7"/>
    </row>
    <row r="10" spans="1:12" ht="15.75">
      <c r="A10" s="194" t="s">
        <v>116</v>
      </c>
      <c r="B10" s="27" t="s">
        <v>75</v>
      </c>
      <c r="C10" s="213">
        <v>5.28</v>
      </c>
      <c r="D10" s="148">
        <f>C10</f>
        <v>5.28</v>
      </c>
      <c r="E10" s="214">
        <f t="shared" si="0"/>
        <v>17.045454545454543</v>
      </c>
      <c r="F10" s="21">
        <f t="shared" si="1"/>
        <v>200</v>
      </c>
      <c r="G10" s="25">
        <f t="shared" si="2"/>
        <v>1</v>
      </c>
      <c r="I10" s="79"/>
      <c r="L10" s="7"/>
    </row>
    <row r="11" spans="1:12" ht="15.75">
      <c r="A11" s="194" t="s">
        <v>118</v>
      </c>
      <c r="B11" s="27" t="s">
        <v>75</v>
      </c>
      <c r="C11" s="215">
        <v>6.4</v>
      </c>
      <c r="D11" s="148">
        <f>C11</f>
        <v>6.4</v>
      </c>
      <c r="E11" s="214">
        <f t="shared" si="0"/>
        <v>14.0625</v>
      </c>
      <c r="F11" s="21">
        <f t="shared" si="1"/>
        <v>119.68470751503227</v>
      </c>
      <c r="G11" s="25">
        <f t="shared" si="2"/>
        <v>7</v>
      </c>
      <c r="I11" s="79"/>
      <c r="L11" s="7"/>
    </row>
    <row r="12" spans="1:12" ht="15.75">
      <c r="A12" s="194" t="s">
        <v>120</v>
      </c>
      <c r="B12" s="27" t="s">
        <v>75</v>
      </c>
      <c r="C12" s="213">
        <v>6.31</v>
      </c>
      <c r="D12" s="148">
        <f>C12</f>
        <v>6.31</v>
      </c>
      <c r="E12" s="214">
        <f t="shared" si="0"/>
        <v>14.263074484944534</v>
      </c>
      <c r="F12" s="21">
        <f t="shared" si="1"/>
        <v>124.60209652642814</v>
      </c>
      <c r="G12" s="25">
        <f t="shared" si="2"/>
        <v>5</v>
      </c>
      <c r="I12" s="79"/>
      <c r="L12" s="7"/>
    </row>
    <row r="13" spans="1:12" ht="31.5">
      <c r="A13" s="194" t="s">
        <v>121</v>
      </c>
      <c r="B13" s="27" t="s">
        <v>75</v>
      </c>
      <c r="C13" s="213">
        <v>5.86</v>
      </c>
      <c r="D13" s="148">
        <f>C13</f>
        <v>5.86</v>
      </c>
      <c r="E13" s="214">
        <f t="shared" si="0"/>
        <v>15.358361774744026</v>
      </c>
      <c r="F13" s="21">
        <f t="shared" si="1"/>
        <v>152.6832093455792</v>
      </c>
      <c r="G13" s="25">
        <f t="shared" si="2"/>
        <v>3</v>
      </c>
      <c r="I13" s="79"/>
      <c r="L13" s="7"/>
    </row>
    <row r="14" spans="1:12" ht="31.5">
      <c r="A14" s="194" t="s">
        <v>117</v>
      </c>
      <c r="B14" s="27" t="s">
        <v>75</v>
      </c>
      <c r="C14" s="213" t="s">
        <v>242</v>
      </c>
      <c r="D14" s="148"/>
      <c r="E14" s="20"/>
      <c r="F14" s="21">
        <v>0</v>
      </c>
      <c r="G14" s="25"/>
      <c r="I14" s="79"/>
      <c r="L14" s="7"/>
    </row>
    <row r="15" spans="1:12" ht="15.75">
      <c r="A15" s="194" t="s">
        <v>110</v>
      </c>
      <c r="B15" s="27" t="s">
        <v>75</v>
      </c>
      <c r="C15" s="213" t="s">
        <v>242</v>
      </c>
      <c r="D15" s="148"/>
      <c r="E15" s="20"/>
      <c r="F15" s="21">
        <v>0</v>
      </c>
      <c r="G15" s="25"/>
      <c r="H15" s="153"/>
      <c r="I15" s="79"/>
      <c r="L15" s="7"/>
    </row>
    <row r="16" spans="1:12" ht="15.75">
      <c r="A16" s="194" t="s">
        <v>113</v>
      </c>
      <c r="B16" s="27" t="s">
        <v>75</v>
      </c>
      <c r="C16" s="213" t="s">
        <v>242</v>
      </c>
      <c r="D16" s="148"/>
      <c r="E16" s="20"/>
      <c r="F16" s="21">
        <v>0</v>
      </c>
      <c r="G16" s="25"/>
      <c r="I16" s="79"/>
      <c r="L16" s="7"/>
    </row>
    <row r="17" spans="1:12" ht="15.75">
      <c r="A17" s="194" t="s">
        <v>119</v>
      </c>
      <c r="B17" s="27" t="s">
        <v>75</v>
      </c>
      <c r="C17" s="213" t="s">
        <v>242</v>
      </c>
      <c r="D17" s="148"/>
      <c r="E17" s="20"/>
      <c r="F17" s="21">
        <v>0</v>
      </c>
      <c r="G17" s="25"/>
      <c r="I17" s="79"/>
      <c r="L17" s="7"/>
    </row>
    <row r="18" spans="1:11" ht="15.75">
      <c r="A18" s="194" t="s">
        <v>122</v>
      </c>
      <c r="B18" s="27" t="s">
        <v>75</v>
      </c>
      <c r="C18" s="213" t="s">
        <v>242</v>
      </c>
      <c r="D18" s="148"/>
      <c r="E18" s="20"/>
      <c r="F18" s="21">
        <v>0</v>
      </c>
      <c r="G18" s="25"/>
      <c r="H18" s="23"/>
      <c r="I18" s="79"/>
      <c r="J18" s="22"/>
      <c r="K18" s="4"/>
    </row>
    <row r="19" spans="8:10" ht="12.75">
      <c r="H19" s="7"/>
      <c r="I19" s="7"/>
      <c r="J19" s="7"/>
    </row>
    <row r="20" spans="8:10" ht="12.75">
      <c r="H20" s="7"/>
      <c r="I20" s="7"/>
      <c r="J20" s="7"/>
    </row>
    <row r="21" spans="8:10" ht="12.75">
      <c r="H21" s="7"/>
      <c r="I21" s="7"/>
      <c r="J21" s="7"/>
    </row>
    <row r="22" spans="9:10" ht="12.75"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ht="12.75">
      <c r="E24" s="7"/>
    </row>
    <row r="26" spans="2:3" ht="12.75">
      <c r="B26" s="181"/>
      <c r="C26" s="181"/>
    </row>
  </sheetData>
  <printOptions/>
  <pageMargins left="0.75" right="0.75" top="1" bottom="1" header="0.5" footer="0.5"/>
  <pageSetup fitToHeight="1" fitToWidth="1"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C29" sqref="C29"/>
    </sheetView>
  </sheetViews>
  <sheetFormatPr defaultColWidth="9.140625" defaultRowHeight="12.75"/>
  <cols>
    <col min="1" max="1" width="33.28125" style="0" customWidth="1"/>
    <col min="2" max="2" width="9.28125" style="0" customWidth="1"/>
    <col min="3" max="3" width="8.8515625" style="0" customWidth="1"/>
    <col min="4" max="4" width="7.00390625" style="0" customWidth="1"/>
    <col min="6" max="7" width="7.7109375" style="0" customWidth="1"/>
    <col min="8" max="8" width="8.57421875" style="0" customWidth="1"/>
    <col min="9" max="9" width="6.8515625" style="0" customWidth="1"/>
    <col min="10" max="10" width="7.140625" style="0" customWidth="1"/>
    <col min="11" max="11" width="8.57421875" style="0" customWidth="1"/>
    <col min="12" max="12" width="12.00390625" style="0" customWidth="1"/>
    <col min="13" max="13" width="8.28125" style="0" customWidth="1"/>
    <col min="14" max="14" width="7.7109375" style="0" customWidth="1"/>
    <col min="15" max="15" width="8.00390625" style="0" customWidth="1"/>
    <col min="16" max="16" width="14.28125" style="0" customWidth="1"/>
    <col min="17" max="17" width="10.8515625" style="0" customWidth="1"/>
    <col min="18" max="18" width="7.421875" style="0" customWidth="1"/>
    <col min="19" max="19" width="8.140625" style="0" customWidth="1"/>
    <col min="21" max="21" width="8.57421875" style="0" customWidth="1"/>
    <col min="22" max="22" width="10.57421875" style="0" customWidth="1"/>
    <col min="23" max="23" width="8.28125" style="0" customWidth="1"/>
  </cols>
  <sheetData>
    <row r="1" spans="1:23" ht="18.75">
      <c r="A1" s="51" t="s">
        <v>128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2" ht="12.7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48"/>
    </row>
    <row r="3" spans="2:21" ht="25.5">
      <c r="B3" s="179" t="s">
        <v>195</v>
      </c>
      <c r="C3" s="179" t="s">
        <v>194</v>
      </c>
      <c r="D3" s="179" t="s">
        <v>80</v>
      </c>
      <c r="E3" s="179" t="s">
        <v>189</v>
      </c>
      <c r="F3" s="179" t="s">
        <v>78</v>
      </c>
      <c r="G3" s="179" t="s">
        <v>188</v>
      </c>
      <c r="H3" s="179" t="s">
        <v>192</v>
      </c>
      <c r="I3" s="179" t="s">
        <v>104</v>
      </c>
      <c r="J3" s="179" t="s">
        <v>79</v>
      </c>
      <c r="K3" s="179" t="s">
        <v>84</v>
      </c>
      <c r="L3" s="179" t="s">
        <v>152</v>
      </c>
      <c r="M3" s="179" t="s">
        <v>97</v>
      </c>
      <c r="N3" s="179" t="s">
        <v>197</v>
      </c>
      <c r="O3" s="179" t="s">
        <v>190</v>
      </c>
      <c r="P3" s="179" t="s">
        <v>193</v>
      </c>
      <c r="Q3" s="179" t="s">
        <v>98</v>
      </c>
      <c r="R3" s="179" t="s">
        <v>191</v>
      </c>
      <c r="S3" s="179" t="s">
        <v>196</v>
      </c>
      <c r="T3" s="49" t="s">
        <v>11</v>
      </c>
      <c r="U3" s="52" t="s">
        <v>37</v>
      </c>
    </row>
    <row r="4" spans="1:21" ht="15.75">
      <c r="A4" s="194" t="s">
        <v>110</v>
      </c>
      <c r="B4" s="53">
        <v>37</v>
      </c>
      <c r="C4" s="53">
        <v>27</v>
      </c>
      <c r="D4" s="53">
        <v>40</v>
      </c>
      <c r="E4" s="53">
        <v>20.5</v>
      </c>
      <c r="F4" s="53">
        <v>49</v>
      </c>
      <c r="G4" s="53">
        <v>44.5</v>
      </c>
      <c r="H4" s="53"/>
      <c r="I4" s="53">
        <v>34</v>
      </c>
      <c r="J4" s="53">
        <v>49</v>
      </c>
      <c r="K4" s="53">
        <v>37.5</v>
      </c>
      <c r="L4" s="53">
        <v>41</v>
      </c>
      <c r="M4" s="53">
        <v>51</v>
      </c>
      <c r="N4" s="53"/>
      <c r="O4" s="53">
        <v>52.5</v>
      </c>
      <c r="P4" s="53"/>
      <c r="Q4" s="53">
        <v>35</v>
      </c>
      <c r="R4" s="53">
        <v>42.5</v>
      </c>
      <c r="S4" s="53">
        <v>27.5</v>
      </c>
      <c r="T4" s="50">
        <f>AVERAGE(B4:S4)</f>
        <v>39.2</v>
      </c>
      <c r="U4" s="54">
        <f>RANK(T4,$T$4:$T$16)</f>
        <v>12</v>
      </c>
    </row>
    <row r="5" spans="1:21" ht="15.75">
      <c r="A5" s="194" t="s">
        <v>111</v>
      </c>
      <c r="B5" s="53">
        <v>37</v>
      </c>
      <c r="C5" s="53">
        <v>55.5</v>
      </c>
      <c r="D5" s="53">
        <v>72.5</v>
      </c>
      <c r="E5" s="53">
        <v>53</v>
      </c>
      <c r="F5" s="53">
        <v>64</v>
      </c>
      <c r="G5" s="53">
        <v>73</v>
      </c>
      <c r="H5" s="53"/>
      <c r="I5" s="53">
        <v>39</v>
      </c>
      <c r="J5" s="53">
        <v>51.5</v>
      </c>
      <c r="K5" s="53">
        <v>82.5</v>
      </c>
      <c r="L5" s="53">
        <v>49</v>
      </c>
      <c r="M5" s="53">
        <v>42</v>
      </c>
      <c r="N5" s="53"/>
      <c r="O5" s="53">
        <v>65</v>
      </c>
      <c r="P5" s="53"/>
      <c r="Q5" s="53">
        <v>82.5</v>
      </c>
      <c r="R5" s="53">
        <v>62.5</v>
      </c>
      <c r="S5" s="53">
        <v>53.5</v>
      </c>
      <c r="T5" s="50">
        <f aca="true" t="shared" si="0" ref="T5:T15">AVERAGE(B5:S5)</f>
        <v>58.833333333333336</v>
      </c>
      <c r="U5" s="54">
        <f aca="true" t="shared" si="1" ref="U5:U15">RANK(T5,$T$4:$T$16)</f>
        <v>4</v>
      </c>
    </row>
    <row r="6" spans="1:21" ht="15.75">
      <c r="A6" s="194" t="s">
        <v>112</v>
      </c>
      <c r="B6" s="53">
        <v>62</v>
      </c>
      <c r="C6" s="53">
        <v>68.5</v>
      </c>
      <c r="D6" s="53">
        <v>67</v>
      </c>
      <c r="E6" s="53">
        <v>74</v>
      </c>
      <c r="F6" s="53">
        <v>73</v>
      </c>
      <c r="G6" s="53">
        <v>75.5</v>
      </c>
      <c r="H6" s="206">
        <v>45</v>
      </c>
      <c r="I6" s="53">
        <v>59</v>
      </c>
      <c r="J6" s="53">
        <v>60</v>
      </c>
      <c r="K6" s="53">
        <v>77.5</v>
      </c>
      <c r="L6" s="53">
        <v>62</v>
      </c>
      <c r="M6" s="53">
        <v>89</v>
      </c>
      <c r="N6" s="53"/>
      <c r="O6" s="53">
        <v>65</v>
      </c>
      <c r="P6" s="53">
        <v>67.5</v>
      </c>
      <c r="Q6" s="53">
        <v>82.5</v>
      </c>
      <c r="R6" s="53">
        <v>75</v>
      </c>
      <c r="S6" s="53">
        <v>67</v>
      </c>
      <c r="T6" s="50">
        <f t="shared" si="0"/>
        <v>68.79411764705883</v>
      </c>
      <c r="U6" s="54">
        <f t="shared" si="1"/>
        <v>3</v>
      </c>
    </row>
    <row r="7" spans="1:21" ht="15.75">
      <c r="A7" s="194" t="s">
        <v>113</v>
      </c>
      <c r="B7" s="53">
        <v>41</v>
      </c>
      <c r="C7" s="53">
        <v>51</v>
      </c>
      <c r="D7" s="53">
        <v>56</v>
      </c>
      <c r="E7" s="53">
        <v>30</v>
      </c>
      <c r="F7" s="53">
        <v>68</v>
      </c>
      <c r="G7" s="53">
        <v>53.5</v>
      </c>
      <c r="H7" s="53">
        <v>30</v>
      </c>
      <c r="I7" s="53">
        <v>39.5</v>
      </c>
      <c r="J7" s="53">
        <v>42.5</v>
      </c>
      <c r="K7" s="53">
        <v>72.5</v>
      </c>
      <c r="L7" s="53">
        <v>47</v>
      </c>
      <c r="M7" s="53">
        <v>41</v>
      </c>
      <c r="N7" s="53"/>
      <c r="O7" s="53">
        <v>45</v>
      </c>
      <c r="P7" s="53">
        <v>35</v>
      </c>
      <c r="Q7" s="53">
        <v>63</v>
      </c>
      <c r="R7" s="53">
        <v>32.5</v>
      </c>
      <c r="S7" s="53">
        <v>37</v>
      </c>
      <c r="T7" s="50">
        <f t="shared" si="0"/>
        <v>46.14705882352941</v>
      </c>
      <c r="U7" s="54">
        <f t="shared" si="1"/>
        <v>9</v>
      </c>
    </row>
    <row r="8" spans="1:21" ht="15.75">
      <c r="A8" s="194" t="s">
        <v>114</v>
      </c>
      <c r="B8" s="53">
        <v>33</v>
      </c>
      <c r="C8" s="53">
        <v>56.5</v>
      </c>
      <c r="D8" s="53">
        <v>69</v>
      </c>
      <c r="E8" s="53">
        <v>73</v>
      </c>
      <c r="F8" s="53">
        <v>73</v>
      </c>
      <c r="G8" s="53">
        <v>71</v>
      </c>
      <c r="H8" s="53">
        <v>40</v>
      </c>
      <c r="I8" s="53">
        <v>49</v>
      </c>
      <c r="J8" s="53">
        <v>57.5</v>
      </c>
      <c r="K8" s="53">
        <v>77.5</v>
      </c>
      <c r="L8" s="53">
        <v>55</v>
      </c>
      <c r="M8" s="53">
        <v>44</v>
      </c>
      <c r="N8" s="53"/>
      <c r="O8" s="53">
        <v>67.5</v>
      </c>
      <c r="P8" s="53">
        <v>70</v>
      </c>
      <c r="Q8" s="53">
        <v>52.5</v>
      </c>
      <c r="R8" s="53">
        <v>47.5</v>
      </c>
      <c r="S8" s="53">
        <v>60</v>
      </c>
      <c r="T8" s="50">
        <f t="shared" si="0"/>
        <v>58.588235294117645</v>
      </c>
      <c r="U8" s="54">
        <f t="shared" si="1"/>
        <v>5</v>
      </c>
    </row>
    <row r="9" spans="1:21" ht="15.75">
      <c r="A9" s="194" t="s">
        <v>115</v>
      </c>
      <c r="B9" s="53">
        <v>63</v>
      </c>
      <c r="C9" s="53">
        <v>81.5</v>
      </c>
      <c r="D9" s="53">
        <v>65</v>
      </c>
      <c r="E9" s="53">
        <v>87</v>
      </c>
      <c r="F9" s="53">
        <v>70</v>
      </c>
      <c r="G9" s="53">
        <v>77</v>
      </c>
      <c r="H9" s="206">
        <v>42.5</v>
      </c>
      <c r="I9" s="53">
        <v>75</v>
      </c>
      <c r="J9" s="53">
        <v>65</v>
      </c>
      <c r="K9" s="53">
        <v>87.5</v>
      </c>
      <c r="L9" s="53">
        <v>64</v>
      </c>
      <c r="M9" s="53">
        <v>85</v>
      </c>
      <c r="N9" s="53"/>
      <c r="O9" s="53">
        <v>72.5</v>
      </c>
      <c r="P9" s="53">
        <v>70</v>
      </c>
      <c r="Q9" s="53">
        <v>88</v>
      </c>
      <c r="R9" s="53">
        <v>67.5</v>
      </c>
      <c r="S9" s="53">
        <v>69</v>
      </c>
      <c r="T9" s="50">
        <f t="shared" si="0"/>
        <v>72.32352941176471</v>
      </c>
      <c r="U9" s="54">
        <f t="shared" si="1"/>
        <v>2</v>
      </c>
    </row>
    <row r="10" spans="1:21" ht="31.5">
      <c r="A10" s="194" t="s">
        <v>116</v>
      </c>
      <c r="B10" s="53">
        <v>54</v>
      </c>
      <c r="C10" s="53">
        <v>83.5</v>
      </c>
      <c r="D10" s="53">
        <v>60</v>
      </c>
      <c r="E10" s="53">
        <v>47</v>
      </c>
      <c r="F10" s="53">
        <v>69</v>
      </c>
      <c r="G10" s="53">
        <v>57</v>
      </c>
      <c r="H10" s="206">
        <v>35</v>
      </c>
      <c r="I10" s="53">
        <v>57</v>
      </c>
      <c r="J10" s="53">
        <v>50</v>
      </c>
      <c r="K10" s="53">
        <v>80</v>
      </c>
      <c r="L10" s="53">
        <v>62</v>
      </c>
      <c r="M10" s="53">
        <v>49</v>
      </c>
      <c r="N10" s="53"/>
      <c r="O10" s="53">
        <v>55</v>
      </c>
      <c r="P10" s="53">
        <v>47.5</v>
      </c>
      <c r="Q10" s="53">
        <v>84.5</v>
      </c>
      <c r="R10" s="53">
        <v>27.5</v>
      </c>
      <c r="S10" s="53">
        <v>56.5</v>
      </c>
      <c r="T10" s="50">
        <f t="shared" si="0"/>
        <v>57.3235294117647</v>
      </c>
      <c r="U10" s="54">
        <f t="shared" si="1"/>
        <v>6</v>
      </c>
    </row>
    <row r="11" spans="1:21" ht="31.5">
      <c r="A11" s="194" t="s">
        <v>117</v>
      </c>
      <c r="B11" s="53"/>
      <c r="C11" s="53">
        <v>37.5</v>
      </c>
      <c r="D11" s="53">
        <v>42</v>
      </c>
      <c r="E11" s="53">
        <v>53</v>
      </c>
      <c r="F11" s="53">
        <v>68</v>
      </c>
      <c r="G11" s="53">
        <v>56.5</v>
      </c>
      <c r="H11" s="53">
        <v>30</v>
      </c>
      <c r="I11" s="53">
        <v>57</v>
      </c>
      <c r="J11" s="53">
        <v>50</v>
      </c>
      <c r="K11" s="53">
        <v>62.5</v>
      </c>
      <c r="L11" s="53">
        <v>56</v>
      </c>
      <c r="M11" s="53">
        <v>46</v>
      </c>
      <c r="N11" s="53"/>
      <c r="O11" s="53">
        <v>50</v>
      </c>
      <c r="P11" s="53">
        <v>32.5</v>
      </c>
      <c r="Q11" s="53">
        <v>53</v>
      </c>
      <c r="R11" s="53">
        <v>37.5</v>
      </c>
      <c r="S11" s="53">
        <v>60</v>
      </c>
      <c r="T11" s="50">
        <f t="shared" si="0"/>
        <v>49.46875</v>
      </c>
      <c r="U11" s="54">
        <f t="shared" si="1"/>
        <v>8</v>
      </c>
    </row>
    <row r="12" spans="1:21" ht="15.75">
      <c r="A12" s="194" t="s">
        <v>118</v>
      </c>
      <c r="B12" s="53">
        <v>60</v>
      </c>
      <c r="C12" s="53">
        <v>89</v>
      </c>
      <c r="D12" s="53">
        <v>75</v>
      </c>
      <c r="E12" s="53">
        <v>82.5</v>
      </c>
      <c r="F12" s="53">
        <v>84</v>
      </c>
      <c r="G12" s="53">
        <v>84.5</v>
      </c>
      <c r="H12" s="53">
        <v>47.5</v>
      </c>
      <c r="I12" s="53">
        <v>77</v>
      </c>
      <c r="J12" s="53">
        <v>70</v>
      </c>
      <c r="K12" s="53">
        <v>77.5</v>
      </c>
      <c r="L12" s="53">
        <v>82</v>
      </c>
      <c r="M12" s="53">
        <v>91</v>
      </c>
      <c r="N12" s="53"/>
      <c r="O12" s="53">
        <v>67.5</v>
      </c>
      <c r="P12" s="53">
        <v>80</v>
      </c>
      <c r="Q12" s="53">
        <v>60.5</v>
      </c>
      <c r="R12" s="53">
        <v>55</v>
      </c>
      <c r="S12" s="53">
        <v>70</v>
      </c>
      <c r="T12" s="50">
        <f t="shared" si="0"/>
        <v>73.70588235294117</v>
      </c>
      <c r="U12" s="54">
        <f t="shared" si="1"/>
        <v>1</v>
      </c>
    </row>
    <row r="13" spans="1:21" ht="15.75">
      <c r="A13" s="194" t="s">
        <v>119</v>
      </c>
      <c r="B13" s="53">
        <v>45</v>
      </c>
      <c r="C13" s="53">
        <v>53.5</v>
      </c>
      <c r="D13" s="53">
        <v>49</v>
      </c>
      <c r="E13" s="53">
        <v>52</v>
      </c>
      <c r="F13" s="53">
        <v>67</v>
      </c>
      <c r="G13" s="53">
        <v>63.5</v>
      </c>
      <c r="H13" s="53">
        <v>32.5</v>
      </c>
      <c r="I13" s="53">
        <v>63</v>
      </c>
      <c r="J13" s="53">
        <v>57.5</v>
      </c>
      <c r="K13" s="53">
        <v>75</v>
      </c>
      <c r="L13" s="53">
        <v>48</v>
      </c>
      <c r="M13" s="53">
        <v>42</v>
      </c>
      <c r="N13" s="53"/>
      <c r="O13" s="53">
        <v>57.5</v>
      </c>
      <c r="P13" s="53">
        <v>40</v>
      </c>
      <c r="Q13" s="53">
        <v>42.5</v>
      </c>
      <c r="R13" s="53">
        <v>40</v>
      </c>
      <c r="S13" s="53">
        <v>65</v>
      </c>
      <c r="T13" s="50">
        <f t="shared" si="0"/>
        <v>52.529411764705884</v>
      </c>
      <c r="U13" s="54">
        <f t="shared" si="1"/>
        <v>7</v>
      </c>
    </row>
    <row r="14" spans="1:21" ht="15.75">
      <c r="A14" s="194" t="s">
        <v>120</v>
      </c>
      <c r="B14" s="53">
        <v>45</v>
      </c>
      <c r="C14" s="53">
        <v>27.5</v>
      </c>
      <c r="D14" s="53">
        <v>48</v>
      </c>
      <c r="E14" s="53">
        <v>32</v>
      </c>
      <c r="F14" s="53">
        <v>61</v>
      </c>
      <c r="G14" s="53">
        <v>53.5</v>
      </c>
      <c r="H14" s="53">
        <v>30</v>
      </c>
      <c r="I14" s="53">
        <v>52</v>
      </c>
      <c r="J14" s="53">
        <v>35</v>
      </c>
      <c r="K14" s="53">
        <v>35</v>
      </c>
      <c r="L14" s="53">
        <v>40</v>
      </c>
      <c r="M14" s="53">
        <v>42</v>
      </c>
      <c r="N14" s="53">
        <v>37</v>
      </c>
      <c r="O14" s="53">
        <v>50</v>
      </c>
      <c r="P14" s="53">
        <v>40</v>
      </c>
      <c r="Q14" s="53">
        <v>30</v>
      </c>
      <c r="R14" s="53">
        <v>35</v>
      </c>
      <c r="S14" s="53">
        <v>42.5</v>
      </c>
      <c r="T14" s="50">
        <f t="shared" si="0"/>
        <v>40.861111111111114</v>
      </c>
      <c r="U14" s="54">
        <f t="shared" si="1"/>
        <v>11</v>
      </c>
    </row>
    <row r="15" spans="1:21" ht="31.5">
      <c r="A15" s="194" t="s">
        <v>121</v>
      </c>
      <c r="B15" s="53">
        <v>47</v>
      </c>
      <c r="C15" s="53">
        <v>53.5</v>
      </c>
      <c r="D15" s="53">
        <v>37</v>
      </c>
      <c r="E15" s="53">
        <v>60</v>
      </c>
      <c r="F15" s="53">
        <v>68</v>
      </c>
      <c r="G15" s="53">
        <v>47.5</v>
      </c>
      <c r="H15" s="53">
        <v>27.5</v>
      </c>
      <c r="I15" s="53">
        <v>47</v>
      </c>
      <c r="J15" s="53">
        <v>30</v>
      </c>
      <c r="K15" s="53"/>
      <c r="L15" s="53">
        <v>43</v>
      </c>
      <c r="M15" s="53">
        <v>28</v>
      </c>
      <c r="N15" s="53">
        <v>44.5</v>
      </c>
      <c r="O15" s="53">
        <v>50</v>
      </c>
      <c r="P15" s="53">
        <v>20</v>
      </c>
      <c r="Q15" s="53"/>
      <c r="R15" s="53">
        <v>35</v>
      </c>
      <c r="S15" s="53">
        <v>30</v>
      </c>
      <c r="T15" s="50">
        <f t="shared" si="0"/>
        <v>41.75</v>
      </c>
      <c r="U15" s="54">
        <f t="shared" si="1"/>
        <v>10</v>
      </c>
    </row>
    <row r="16" ht="12.75">
      <c r="A16" t="s">
        <v>203</v>
      </c>
    </row>
    <row r="17" ht="12.75">
      <c r="V17" s="54"/>
    </row>
    <row r="18" spans="22:23" ht="12.75">
      <c r="V18" s="50"/>
      <c r="W18" s="54"/>
    </row>
    <row r="19" spans="22:23" ht="12.75">
      <c r="V19" s="36"/>
      <c r="W19" s="36"/>
    </row>
    <row r="20" spans="22:23" ht="12.75">
      <c r="V20" s="36"/>
      <c r="W20" s="36"/>
    </row>
    <row r="21" spans="22:23" ht="12.75">
      <c r="V21" s="36"/>
      <c r="W21" s="36"/>
    </row>
  </sheetData>
  <printOptions/>
  <pageMargins left="0.75" right="0.75" top="1" bottom="1" header="0.5" footer="0.5"/>
  <pageSetup fitToHeight="1" fitToWidth="1" horizontalDpi="300" verticalDpi="3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G5" sqref="G5:G17"/>
    </sheetView>
  </sheetViews>
  <sheetFormatPr defaultColWidth="9.140625" defaultRowHeight="12.75"/>
  <cols>
    <col min="1" max="1" width="35.140625" style="0" customWidth="1"/>
    <col min="2" max="2" width="11.00390625" style="0" customWidth="1"/>
    <col min="3" max="3" width="21.421875" style="0" customWidth="1"/>
    <col min="4" max="4" width="14.140625" style="0" customWidth="1"/>
    <col min="5" max="7" width="13.28125" style="0" customWidth="1"/>
    <col min="8" max="8" width="11.421875" style="0" customWidth="1"/>
    <col min="9" max="9" width="12.28125" style="0" customWidth="1"/>
    <col min="10" max="10" width="10.421875" style="0" customWidth="1"/>
    <col min="11" max="11" width="13.7109375" style="0" customWidth="1"/>
    <col min="12" max="12" width="13.28125" style="0" customWidth="1"/>
    <col min="13" max="13" width="12.28125" style="0" customWidth="1"/>
    <col min="14" max="14" width="14.28125" style="0" customWidth="1"/>
    <col min="15" max="15" width="12.7109375" style="0" customWidth="1"/>
    <col min="16" max="16" width="12.421875" style="0" customWidth="1"/>
    <col min="17" max="17" width="11.00390625" style="0" customWidth="1"/>
  </cols>
  <sheetData>
    <row r="1" spans="1:16" ht="18.75">
      <c r="A1" s="9" t="s">
        <v>129</v>
      </c>
      <c r="B1" s="10"/>
      <c r="C1" s="7"/>
      <c r="D1" s="11"/>
      <c r="E1" s="7" t="s">
        <v>77</v>
      </c>
      <c r="F1" s="201" t="s">
        <v>77</v>
      </c>
      <c r="G1" s="7"/>
      <c r="H1" s="11"/>
      <c r="I1" s="7"/>
      <c r="J1" s="7"/>
      <c r="K1" s="7"/>
      <c r="L1" s="7"/>
      <c r="M1" s="7"/>
      <c r="N1" s="7"/>
      <c r="O1" s="7"/>
      <c r="P1" s="7"/>
    </row>
    <row r="2" spans="1:16" s="80" customFormat="1" ht="12.75">
      <c r="A2" s="43"/>
      <c r="B2" s="43"/>
      <c r="C2" s="43"/>
      <c r="D2" s="11"/>
      <c r="E2" s="11" t="s">
        <v>77</v>
      </c>
      <c r="F2" s="23" t="s">
        <v>77</v>
      </c>
      <c r="G2" s="170" t="s">
        <v>77</v>
      </c>
      <c r="H2" s="81"/>
      <c r="I2" s="43"/>
      <c r="J2" s="43"/>
      <c r="K2" s="43"/>
      <c r="L2" s="43"/>
      <c r="M2" s="43"/>
      <c r="N2" s="43"/>
      <c r="O2" s="43"/>
      <c r="P2" s="43"/>
    </row>
    <row r="3" spans="1:16" ht="12.75">
      <c r="A3" s="12"/>
      <c r="B3" s="13"/>
      <c r="C3" s="14"/>
      <c r="D3" s="64" t="s">
        <v>77</v>
      </c>
      <c r="E3" s="64" t="s">
        <v>90</v>
      </c>
      <c r="F3" s="14"/>
      <c r="G3" s="14"/>
      <c r="H3" s="14"/>
      <c r="I3" s="7"/>
      <c r="J3" s="7"/>
      <c r="K3" s="7"/>
      <c r="L3" s="7"/>
      <c r="M3" s="7"/>
      <c r="N3" s="7"/>
      <c r="O3" s="7"/>
      <c r="P3" s="7"/>
    </row>
    <row r="4" spans="1:16" ht="12.75">
      <c r="A4" s="7"/>
      <c r="B4" s="28" t="s">
        <v>184</v>
      </c>
      <c r="C4" s="28" t="s">
        <v>185</v>
      </c>
      <c r="D4" s="28" t="s">
        <v>77</v>
      </c>
      <c r="E4" s="28" t="s">
        <v>186</v>
      </c>
      <c r="F4" s="28"/>
      <c r="G4" s="28" t="s">
        <v>11</v>
      </c>
      <c r="H4" s="28" t="s">
        <v>37</v>
      </c>
      <c r="I4" s="28"/>
      <c r="J4" s="24"/>
      <c r="K4" s="24"/>
      <c r="L4" s="6"/>
      <c r="M4" s="6"/>
      <c r="N4" s="6"/>
      <c r="O4" s="6"/>
      <c r="P4" s="3"/>
    </row>
    <row r="5" spans="1:16" ht="15.75">
      <c r="A5" s="194" t="s">
        <v>110</v>
      </c>
      <c r="B5" s="72">
        <v>78.3</v>
      </c>
      <c r="C5" s="72">
        <f>IF(B5&gt;80,0,150)</f>
        <v>150</v>
      </c>
      <c r="D5" s="20"/>
      <c r="E5" s="21">
        <v>25</v>
      </c>
      <c r="F5" s="20"/>
      <c r="G5" s="21">
        <f aca="true" t="shared" si="0" ref="G5:G17">IF(C5=150,C5+E5,0)</f>
        <v>175</v>
      </c>
      <c r="H5" s="64">
        <f aca="true" t="shared" si="1" ref="H5:H17">RANK(G5,$G$5:$G$17)</f>
        <v>6</v>
      </c>
      <c r="I5" s="65"/>
      <c r="J5" s="70"/>
      <c r="K5" s="35"/>
      <c r="L5" s="22"/>
      <c r="M5" s="69"/>
      <c r="N5" s="22"/>
      <c r="O5" s="22"/>
      <c r="P5" s="4"/>
    </row>
    <row r="6" spans="1:16" ht="15.75">
      <c r="A6" s="194" t="s">
        <v>111</v>
      </c>
      <c r="B6" s="72">
        <v>70.3</v>
      </c>
      <c r="C6" s="72">
        <f aca="true" t="shared" si="2" ref="C6:C17">IF(B6&gt;80,0,150)</f>
        <v>150</v>
      </c>
      <c r="D6" s="20"/>
      <c r="E6" s="21">
        <v>150</v>
      </c>
      <c r="F6" s="20"/>
      <c r="G6" s="21">
        <f t="shared" si="0"/>
        <v>300</v>
      </c>
      <c r="H6" s="64">
        <f t="shared" si="1"/>
        <v>1</v>
      </c>
      <c r="I6" s="65"/>
      <c r="J6" s="70"/>
      <c r="K6" s="35"/>
      <c r="L6" s="22"/>
      <c r="M6" s="69"/>
      <c r="N6" s="22"/>
      <c r="O6" s="22"/>
      <c r="P6" s="4"/>
    </row>
    <row r="7" spans="1:16" ht="15.75">
      <c r="A7" s="194" t="s">
        <v>112</v>
      </c>
      <c r="B7" s="72">
        <v>77.1</v>
      </c>
      <c r="C7" s="72">
        <f t="shared" si="2"/>
        <v>150</v>
      </c>
      <c r="D7" s="20"/>
      <c r="E7" s="21">
        <v>103</v>
      </c>
      <c r="F7" s="20"/>
      <c r="G7" s="21">
        <f t="shared" si="0"/>
        <v>253</v>
      </c>
      <c r="H7" s="64">
        <f t="shared" si="1"/>
        <v>4</v>
      </c>
      <c r="I7" s="65"/>
      <c r="J7" s="70"/>
      <c r="K7" s="35"/>
      <c r="L7" s="22"/>
      <c r="M7" s="69"/>
      <c r="N7" s="22"/>
      <c r="O7" s="22"/>
      <c r="P7" s="4"/>
    </row>
    <row r="8" spans="1:16" ht="15.75">
      <c r="A8" s="194" t="s">
        <v>113</v>
      </c>
      <c r="B8" s="72">
        <v>70.6</v>
      </c>
      <c r="C8" s="72">
        <f t="shared" si="2"/>
        <v>150</v>
      </c>
      <c r="D8" s="20"/>
      <c r="E8" s="21">
        <v>133</v>
      </c>
      <c r="F8" s="20"/>
      <c r="G8" s="21">
        <f t="shared" si="0"/>
        <v>283</v>
      </c>
      <c r="H8" s="64">
        <f t="shared" si="1"/>
        <v>2</v>
      </c>
      <c r="I8" s="65"/>
      <c r="J8" s="70"/>
      <c r="K8" s="35"/>
      <c r="L8" s="22"/>
      <c r="M8" s="69"/>
      <c r="N8" s="22"/>
      <c r="O8" s="22"/>
      <c r="P8" s="4"/>
    </row>
    <row r="9" spans="1:16" ht="15.75">
      <c r="A9" s="194" t="s">
        <v>114</v>
      </c>
      <c r="B9" s="72">
        <v>79</v>
      </c>
      <c r="C9" s="72">
        <f t="shared" si="2"/>
        <v>150</v>
      </c>
      <c r="D9" s="20"/>
      <c r="E9" s="21">
        <v>53</v>
      </c>
      <c r="F9" s="20"/>
      <c r="G9" s="21">
        <f t="shared" si="0"/>
        <v>203</v>
      </c>
      <c r="H9" s="64">
        <f t="shared" si="1"/>
        <v>5</v>
      </c>
      <c r="I9" s="65"/>
      <c r="J9" s="70"/>
      <c r="K9" s="35"/>
      <c r="L9" s="22"/>
      <c r="M9" s="69"/>
      <c r="N9" s="22"/>
      <c r="O9" s="22"/>
      <c r="P9" s="4"/>
    </row>
    <row r="10" spans="1:16" ht="15.75">
      <c r="A10" s="194" t="s">
        <v>115</v>
      </c>
      <c r="B10" s="72">
        <v>77.6</v>
      </c>
      <c r="C10" s="72">
        <f t="shared" si="2"/>
        <v>150</v>
      </c>
      <c r="D10" s="20"/>
      <c r="E10" s="21">
        <v>14</v>
      </c>
      <c r="F10" s="20"/>
      <c r="G10" s="21">
        <f t="shared" si="0"/>
        <v>164</v>
      </c>
      <c r="H10" s="64">
        <f t="shared" si="1"/>
        <v>7</v>
      </c>
      <c r="I10" s="65"/>
      <c r="J10" s="70"/>
      <c r="K10" s="35"/>
      <c r="N10" s="22"/>
      <c r="O10" s="22"/>
      <c r="P10" s="4"/>
    </row>
    <row r="11" spans="1:16" ht="15.75">
      <c r="A11" s="194" t="s">
        <v>116</v>
      </c>
      <c r="B11" s="72">
        <v>86.9</v>
      </c>
      <c r="C11" s="72">
        <f t="shared" si="2"/>
        <v>0</v>
      </c>
      <c r="D11" s="20"/>
      <c r="E11" s="21"/>
      <c r="F11" s="20"/>
      <c r="G11" s="21">
        <f t="shared" si="0"/>
        <v>0</v>
      </c>
      <c r="H11" s="64">
        <f t="shared" si="1"/>
        <v>9</v>
      </c>
      <c r="I11" s="65"/>
      <c r="J11" s="70"/>
      <c r="K11" s="35"/>
      <c r="N11" s="22"/>
      <c r="O11" s="22"/>
      <c r="P11" s="4"/>
    </row>
    <row r="12" spans="1:16" ht="31.5">
      <c r="A12" s="194" t="s">
        <v>117</v>
      </c>
      <c r="B12" s="72" t="s">
        <v>242</v>
      </c>
      <c r="C12" s="72">
        <f t="shared" si="2"/>
        <v>0</v>
      </c>
      <c r="D12" s="20"/>
      <c r="E12" s="21"/>
      <c r="F12" s="20"/>
      <c r="G12" s="21">
        <f t="shared" si="0"/>
        <v>0</v>
      </c>
      <c r="H12" s="64">
        <f t="shared" si="1"/>
        <v>9</v>
      </c>
      <c r="I12" s="65"/>
      <c r="J12" s="70"/>
      <c r="K12" s="35"/>
      <c r="L12" s="22"/>
      <c r="M12" s="69"/>
      <c r="N12" s="22"/>
      <c r="O12" s="22"/>
      <c r="P12" s="4"/>
    </row>
    <row r="13" spans="1:16" ht="15.75">
      <c r="A13" s="194" t="s">
        <v>118</v>
      </c>
      <c r="B13" s="72">
        <v>85.4</v>
      </c>
      <c r="C13" s="72">
        <f t="shared" si="2"/>
        <v>0</v>
      </c>
      <c r="D13" s="20"/>
      <c r="E13" s="21"/>
      <c r="F13" s="20"/>
      <c r="G13" s="21">
        <f t="shared" si="0"/>
        <v>0</v>
      </c>
      <c r="H13" s="64">
        <f t="shared" si="1"/>
        <v>9</v>
      </c>
      <c r="I13" s="65"/>
      <c r="J13" s="70"/>
      <c r="K13" s="35"/>
      <c r="L13" s="22"/>
      <c r="M13" s="69"/>
      <c r="N13" s="22"/>
      <c r="O13" s="22"/>
      <c r="P13" s="4"/>
    </row>
    <row r="14" spans="1:16" ht="15.75">
      <c r="A14" s="194" t="s">
        <v>119</v>
      </c>
      <c r="B14" s="72">
        <v>82.4</v>
      </c>
      <c r="C14" s="72">
        <f t="shared" si="2"/>
        <v>0</v>
      </c>
      <c r="D14" s="20"/>
      <c r="E14" s="21"/>
      <c r="F14" s="20"/>
      <c r="G14" s="21">
        <f t="shared" si="0"/>
        <v>0</v>
      </c>
      <c r="H14" s="64">
        <f t="shared" si="1"/>
        <v>9</v>
      </c>
      <c r="I14" s="65"/>
      <c r="J14" s="70"/>
      <c r="K14" s="35"/>
      <c r="L14" s="22"/>
      <c r="M14" s="69"/>
      <c r="N14" s="22"/>
      <c r="O14" s="22"/>
      <c r="P14" s="4"/>
    </row>
    <row r="15" spans="1:16" ht="15.75">
      <c r="A15" s="194" t="s">
        <v>120</v>
      </c>
      <c r="B15" s="72">
        <v>73.4</v>
      </c>
      <c r="C15" s="72">
        <f t="shared" si="2"/>
        <v>150</v>
      </c>
      <c r="D15" s="20"/>
      <c r="E15" s="21">
        <v>133</v>
      </c>
      <c r="F15" s="20"/>
      <c r="G15" s="21">
        <f t="shared" si="0"/>
        <v>283</v>
      </c>
      <c r="H15" s="64">
        <f t="shared" si="1"/>
        <v>2</v>
      </c>
      <c r="I15" s="65"/>
      <c r="J15" s="70"/>
      <c r="K15" s="35"/>
      <c r="L15" s="22"/>
      <c r="M15" s="69"/>
      <c r="N15" s="22"/>
      <c r="O15" s="22"/>
      <c r="P15" s="4"/>
    </row>
    <row r="16" spans="1:16" ht="15.75">
      <c r="A16" s="194" t="s">
        <v>121</v>
      </c>
      <c r="B16" s="72">
        <v>78.2</v>
      </c>
      <c r="C16" s="72">
        <f t="shared" si="2"/>
        <v>150</v>
      </c>
      <c r="D16" s="20"/>
      <c r="E16" s="21">
        <v>0</v>
      </c>
      <c r="F16" s="20"/>
      <c r="G16" s="21">
        <f t="shared" si="0"/>
        <v>150</v>
      </c>
      <c r="H16" s="64">
        <f t="shared" si="1"/>
        <v>8</v>
      </c>
      <c r="I16" s="65"/>
      <c r="J16" s="70"/>
      <c r="K16" s="35"/>
      <c r="L16" s="22"/>
      <c r="M16" s="69"/>
      <c r="N16" s="22"/>
      <c r="O16" s="22"/>
      <c r="P16" s="4"/>
    </row>
    <row r="17" spans="1:16" ht="15.75">
      <c r="A17" s="194" t="s">
        <v>122</v>
      </c>
      <c r="B17" s="72" t="s">
        <v>242</v>
      </c>
      <c r="C17" s="72">
        <f t="shared" si="2"/>
        <v>0</v>
      </c>
      <c r="D17" s="20"/>
      <c r="E17" s="21"/>
      <c r="F17" s="20"/>
      <c r="G17" s="21">
        <f t="shared" si="0"/>
        <v>0</v>
      </c>
      <c r="H17" s="64">
        <f t="shared" si="1"/>
        <v>9</v>
      </c>
      <c r="I17" s="65"/>
      <c r="J17" s="70"/>
      <c r="K17" s="35"/>
      <c r="L17" s="22"/>
      <c r="M17" s="22"/>
      <c r="N17" s="22"/>
      <c r="O17" s="22"/>
      <c r="P17" s="7"/>
    </row>
    <row r="18" spans="1:11" ht="12.75">
      <c r="A18" s="16"/>
      <c r="B18" s="20"/>
      <c r="C18" s="20"/>
      <c r="D18" s="20"/>
      <c r="E18" s="20"/>
      <c r="F18" s="20"/>
      <c r="G18" s="14"/>
      <c r="H18" s="14"/>
      <c r="I18" s="14"/>
      <c r="J18" s="7"/>
      <c r="K18" s="7"/>
    </row>
    <row r="19" spans="1:12" ht="12.75">
      <c r="A19" s="1"/>
      <c r="B19" s="5"/>
      <c r="C19" s="5"/>
      <c r="D19" s="5"/>
      <c r="E19" s="5"/>
      <c r="F19" s="5"/>
      <c r="G19" s="5"/>
      <c r="H19" s="5"/>
      <c r="I19" s="5"/>
      <c r="J19" s="1"/>
      <c r="K19" s="1"/>
      <c r="L19" s="1"/>
    </row>
    <row r="20" spans="1:12" ht="12.75">
      <c r="A20" s="83"/>
      <c r="B20" s="83"/>
      <c r="C20" s="58"/>
      <c r="D20" s="58"/>
      <c r="E20" s="58"/>
      <c r="F20" s="58"/>
      <c r="G20" s="58"/>
      <c r="H20" s="58"/>
      <c r="I20" s="5"/>
      <c r="J20" s="84"/>
      <c r="K20" s="85"/>
      <c r="L20" s="1"/>
    </row>
    <row r="21" spans="1:12" ht="12.75">
      <c r="A21" s="62"/>
      <c r="B21" s="86"/>
      <c r="C21" s="86"/>
      <c r="D21" s="86"/>
      <c r="E21" s="86"/>
      <c r="F21" s="86"/>
      <c r="G21" s="62"/>
      <c r="H21" s="62"/>
      <c r="I21" s="5"/>
      <c r="J21" s="84"/>
      <c r="K21" s="87"/>
      <c r="L21" s="1"/>
    </row>
    <row r="22" spans="1:12" ht="12.75">
      <c r="A22" s="88"/>
      <c r="B22" s="89"/>
      <c r="C22" s="90"/>
      <c r="D22" s="90"/>
      <c r="E22" s="90"/>
      <c r="F22" s="90"/>
      <c r="G22" s="90"/>
      <c r="H22" s="91"/>
      <c r="I22" s="5"/>
      <c r="J22" s="1"/>
      <c r="K22" s="1"/>
      <c r="L22" s="1"/>
    </row>
    <row r="23" spans="1:12" ht="12.75">
      <c r="A23" s="88"/>
      <c r="B23" s="89"/>
      <c r="C23" s="90"/>
      <c r="D23" s="90"/>
      <c r="E23" s="90"/>
      <c r="F23" s="90"/>
      <c r="G23" s="90"/>
      <c r="H23" s="91"/>
      <c r="I23" s="5"/>
      <c r="J23" s="1"/>
      <c r="K23" s="1"/>
      <c r="L23" s="1"/>
    </row>
    <row r="24" spans="1:12" ht="12.75">
      <c r="A24" s="88"/>
      <c r="B24" s="89"/>
      <c r="C24" s="90"/>
      <c r="D24" s="90"/>
      <c r="E24" s="90"/>
      <c r="F24" s="90"/>
      <c r="G24" s="90"/>
      <c r="H24" s="91"/>
      <c r="I24" s="5"/>
      <c r="J24" s="1"/>
      <c r="K24" s="1"/>
      <c r="L24" s="1"/>
    </row>
    <row r="25" spans="1:12" ht="12.75">
      <c r="A25" s="88"/>
      <c r="B25" s="89"/>
      <c r="C25" s="90"/>
      <c r="D25" s="90"/>
      <c r="E25" s="90"/>
      <c r="F25" s="90"/>
      <c r="G25" s="90"/>
      <c r="H25" s="91"/>
      <c r="I25" s="5"/>
      <c r="J25" s="1"/>
      <c r="K25" s="1"/>
      <c r="L25" s="1"/>
    </row>
    <row r="26" spans="1:12" ht="12.75">
      <c r="A26" s="88"/>
      <c r="B26" s="89"/>
      <c r="C26" s="90"/>
      <c r="D26" s="90"/>
      <c r="E26" s="90"/>
      <c r="F26" s="90"/>
      <c r="G26" s="90"/>
      <c r="H26" s="91"/>
      <c r="I26" s="5"/>
      <c r="J26" s="1"/>
      <c r="K26" s="1"/>
      <c r="L26" s="1"/>
    </row>
    <row r="27" spans="1:12" ht="12.75">
      <c r="A27" s="88"/>
      <c r="B27" s="89"/>
      <c r="C27" s="90"/>
      <c r="D27" s="90"/>
      <c r="E27" s="90"/>
      <c r="F27" s="90"/>
      <c r="G27" s="90"/>
      <c r="H27" s="91"/>
      <c r="I27" s="5"/>
      <c r="J27" s="1"/>
      <c r="K27" s="1"/>
      <c r="L27" s="1"/>
    </row>
    <row r="28" spans="1:12" ht="12.75">
      <c r="A28" s="88"/>
      <c r="B28" s="89"/>
      <c r="C28" s="90"/>
      <c r="D28" s="90"/>
      <c r="E28" s="90"/>
      <c r="F28" s="90"/>
      <c r="G28" s="90"/>
      <c r="H28" s="91"/>
      <c r="I28" s="5"/>
      <c r="J28" s="1"/>
      <c r="K28" s="1"/>
      <c r="L28" s="1"/>
    </row>
    <row r="29" spans="1:12" ht="12.75">
      <c r="A29" s="88"/>
      <c r="B29" s="89"/>
      <c r="C29" s="90"/>
      <c r="D29" s="90"/>
      <c r="E29" s="90"/>
      <c r="F29" s="90"/>
      <c r="G29" s="90"/>
      <c r="H29" s="91"/>
      <c r="I29" s="5"/>
      <c r="J29" s="1"/>
      <c r="K29" s="1"/>
      <c r="L29" s="1"/>
    </row>
    <row r="30" spans="1:12" ht="12.75">
      <c r="A30" s="88"/>
      <c r="B30" s="89"/>
      <c r="C30" s="90"/>
      <c r="D30" s="90"/>
      <c r="E30" s="90"/>
      <c r="F30" s="90"/>
      <c r="G30" s="90"/>
      <c r="H30" s="91"/>
      <c r="I30" s="5"/>
      <c r="J30" s="1"/>
      <c r="K30" s="1"/>
      <c r="L30" s="1"/>
    </row>
    <row r="31" spans="1:12" ht="12.75">
      <c r="A31" s="88"/>
      <c r="B31" s="89"/>
      <c r="C31" s="90"/>
      <c r="D31" s="90"/>
      <c r="E31" s="90"/>
      <c r="F31" s="90"/>
      <c r="G31" s="90"/>
      <c r="H31" s="91"/>
      <c r="I31" s="5"/>
      <c r="J31" s="1"/>
      <c r="K31" s="1"/>
      <c r="L31" s="1"/>
    </row>
    <row r="32" spans="1:12" ht="12.75">
      <c r="A32" s="88"/>
      <c r="B32" s="89"/>
      <c r="C32" s="90"/>
      <c r="D32" s="90"/>
      <c r="E32" s="90"/>
      <c r="F32" s="90"/>
      <c r="G32" s="90"/>
      <c r="H32" s="91"/>
      <c r="I32" s="5"/>
      <c r="J32" s="1"/>
      <c r="K32" s="1"/>
      <c r="L32" s="1"/>
    </row>
    <row r="33" spans="1:12" ht="12.75">
      <c r="A33" s="88"/>
      <c r="B33" s="89"/>
      <c r="C33" s="90"/>
      <c r="D33" s="90"/>
      <c r="E33" s="90"/>
      <c r="F33" s="90"/>
      <c r="G33" s="90"/>
      <c r="H33" s="91"/>
      <c r="I33" s="5"/>
      <c r="J33" s="1"/>
      <c r="K33" s="1"/>
      <c r="L33" s="1"/>
    </row>
    <row r="34" spans="1:12" ht="12.75">
      <c r="A34" s="88"/>
      <c r="B34" s="89"/>
      <c r="C34" s="90"/>
      <c r="D34" s="90"/>
      <c r="E34" s="90"/>
      <c r="F34" s="90"/>
      <c r="G34" s="90"/>
      <c r="H34" s="91"/>
      <c r="I34" s="5"/>
      <c r="J34" s="1"/>
      <c r="K34" s="1"/>
      <c r="L34" s="1"/>
    </row>
    <row r="35" spans="1:12" ht="12.75">
      <c r="A35" s="88"/>
      <c r="B35" s="89"/>
      <c r="C35" s="90"/>
      <c r="D35" s="90"/>
      <c r="E35" s="90"/>
      <c r="F35" s="90"/>
      <c r="G35" s="90"/>
      <c r="H35" s="91"/>
      <c r="I35" s="5"/>
      <c r="J35" s="1"/>
      <c r="K35" s="1"/>
      <c r="L35" s="1"/>
    </row>
    <row r="36" spans="1:12" ht="12.75">
      <c r="A36" s="88"/>
      <c r="B36" s="89"/>
      <c r="C36" s="90"/>
      <c r="D36" s="90"/>
      <c r="E36" s="90"/>
      <c r="F36" s="90"/>
      <c r="G36" s="90"/>
      <c r="H36" s="91"/>
      <c r="I36" s="5"/>
      <c r="J36" s="1"/>
      <c r="K36" s="1"/>
      <c r="L36" s="1"/>
    </row>
    <row r="37" spans="1:12" ht="12.75">
      <c r="A37" s="88"/>
      <c r="B37" s="89"/>
      <c r="C37" s="90"/>
      <c r="D37" s="90"/>
      <c r="E37" s="90"/>
      <c r="F37" s="90"/>
      <c r="G37" s="90"/>
      <c r="H37" s="91"/>
      <c r="I37" s="5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5"/>
      <c r="J38" s="1"/>
      <c r="K38" s="1"/>
      <c r="L38" s="1"/>
    </row>
    <row r="39" spans="1:12" ht="12.75">
      <c r="A39" s="1"/>
      <c r="B39" s="5"/>
      <c r="C39" s="5"/>
      <c r="D39" s="5"/>
      <c r="E39" s="5"/>
      <c r="F39" s="5"/>
      <c r="G39" s="5"/>
      <c r="H39" s="5"/>
      <c r="I39" s="5"/>
      <c r="J39" s="1"/>
      <c r="K39" s="1"/>
      <c r="L39" s="1"/>
    </row>
    <row r="40" spans="2:9" ht="12.75">
      <c r="B40" s="5"/>
      <c r="C40" s="5"/>
      <c r="D40" s="5"/>
      <c r="E40" s="5"/>
      <c r="F40" s="5"/>
      <c r="G40" s="5"/>
      <c r="H40" s="5"/>
      <c r="I40" s="5"/>
    </row>
    <row r="41" spans="2:9" ht="12.75">
      <c r="B41" s="5"/>
      <c r="C41" s="5"/>
      <c r="D41" s="5"/>
      <c r="E41" s="5"/>
      <c r="F41" s="5"/>
      <c r="G41" s="5"/>
      <c r="H41" s="5"/>
      <c r="I41" s="5"/>
    </row>
    <row r="42" spans="2:9" ht="12.75">
      <c r="B42" s="5"/>
      <c r="C42" s="5"/>
      <c r="D42" s="5"/>
      <c r="E42" s="5"/>
      <c r="F42" s="5"/>
      <c r="G42" s="5"/>
      <c r="H42" s="5"/>
      <c r="I42" s="5"/>
    </row>
    <row r="43" spans="2:9" ht="12.75">
      <c r="B43" s="5"/>
      <c r="C43" s="5"/>
      <c r="D43" s="5"/>
      <c r="E43" s="5"/>
      <c r="F43" s="5"/>
      <c r="G43" s="5"/>
      <c r="H43" s="5"/>
      <c r="I43" s="5"/>
    </row>
    <row r="44" spans="2:9" ht="12.75">
      <c r="B44" s="5"/>
      <c r="C44" s="5"/>
      <c r="D44" s="5"/>
      <c r="E44" s="5"/>
      <c r="F44" s="5"/>
      <c r="G44" s="5"/>
      <c r="H44" s="5"/>
      <c r="I44" s="5"/>
    </row>
    <row r="45" spans="2:9" ht="12.75">
      <c r="B45" s="5"/>
      <c r="C45" s="5"/>
      <c r="D45" s="5"/>
      <c r="E45" s="5"/>
      <c r="F45" s="5"/>
      <c r="G45" s="5"/>
      <c r="H45" s="5"/>
      <c r="I45" s="5"/>
    </row>
    <row r="46" spans="2:9" ht="12.75">
      <c r="B46" s="5"/>
      <c r="C46" s="5"/>
      <c r="D46" s="5"/>
      <c r="E46" s="5"/>
      <c r="F46" s="5"/>
      <c r="G46" s="5"/>
      <c r="H46" s="5"/>
      <c r="I46" s="5"/>
    </row>
    <row r="47" spans="2:9" ht="12.75">
      <c r="B47" s="5"/>
      <c r="C47" s="5"/>
      <c r="D47" s="5"/>
      <c r="E47" s="5"/>
      <c r="F47" s="5"/>
      <c r="G47" s="5"/>
      <c r="H47" s="5"/>
      <c r="I47" s="5"/>
    </row>
    <row r="48" spans="2:9" ht="12.75">
      <c r="B48" s="5"/>
      <c r="C48" s="5"/>
      <c r="D48" s="5"/>
      <c r="E48" s="5"/>
      <c r="F48" s="5"/>
      <c r="G48" s="5"/>
      <c r="H48" s="5"/>
      <c r="I48" s="5"/>
    </row>
    <row r="49" spans="2:9" ht="12.75">
      <c r="B49" s="5"/>
      <c r="C49" s="5"/>
      <c r="D49" s="5"/>
      <c r="E49" s="5"/>
      <c r="F49" s="5"/>
      <c r="G49" s="5"/>
      <c r="H49" s="5"/>
      <c r="I49" s="5"/>
    </row>
    <row r="50" spans="2:9" ht="12.75">
      <c r="B50" s="5"/>
      <c r="C50" s="5"/>
      <c r="D50" s="5"/>
      <c r="E50" s="5"/>
      <c r="F50" s="5"/>
      <c r="G50" s="5"/>
      <c r="H50" s="5"/>
      <c r="I50" s="5"/>
    </row>
    <row r="51" spans="2:9" ht="12.75">
      <c r="B51" s="5"/>
      <c r="C51" s="5"/>
      <c r="D51" s="5"/>
      <c r="E51" s="5"/>
      <c r="F51" s="5"/>
      <c r="G51" s="5"/>
      <c r="H51" s="5"/>
      <c r="I51" s="5"/>
    </row>
    <row r="52" spans="2:9" ht="12.75">
      <c r="B52" s="5"/>
      <c r="C52" s="5"/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</sheetData>
  <printOptions/>
  <pageMargins left="0.75" right="0.75" top="0.5" bottom="0.5" header="0.5" footer="0.5"/>
  <pageSetup fitToHeight="1" fitToWidth="1" horizontalDpi="300" verticalDpi="3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E5" sqref="E5"/>
    </sheetView>
  </sheetViews>
  <sheetFormatPr defaultColWidth="9.140625" defaultRowHeight="12.75"/>
  <cols>
    <col min="1" max="1" width="35.140625" style="0" customWidth="1"/>
    <col min="2" max="2" width="9.7109375" style="0" customWidth="1"/>
    <col min="3" max="3" width="10.00390625" style="0" customWidth="1"/>
    <col min="4" max="4" width="11.421875" style="0" customWidth="1"/>
    <col min="5" max="5" width="11.28125" style="0" customWidth="1"/>
    <col min="6" max="6" width="14.28125" style="0" customWidth="1"/>
    <col min="7" max="7" width="12.7109375" style="0" customWidth="1"/>
    <col min="8" max="8" width="12.421875" style="0" customWidth="1"/>
    <col min="9" max="9" width="11.00390625" style="0" customWidth="1"/>
  </cols>
  <sheetData>
    <row r="1" spans="1:8" ht="18.75">
      <c r="A1" s="9" t="s">
        <v>130</v>
      </c>
      <c r="B1" s="10"/>
      <c r="C1" s="7"/>
      <c r="D1" s="11"/>
      <c r="E1" s="82"/>
      <c r="F1" s="43"/>
      <c r="G1" s="7"/>
      <c r="H1" s="7"/>
    </row>
    <row r="2" spans="1:8" s="80" customFormat="1" ht="12.75" customHeight="1">
      <c r="A2" s="43"/>
      <c r="B2" s="43"/>
      <c r="C2" s="43"/>
      <c r="D2" s="81" t="s">
        <v>17</v>
      </c>
      <c r="E2" s="156">
        <f>MIN(B5:C18)</f>
        <v>6.83</v>
      </c>
      <c r="F2" s="43" t="s">
        <v>18</v>
      </c>
      <c r="G2" s="43"/>
      <c r="H2" s="43"/>
    </row>
    <row r="3" spans="1:7" ht="12.75">
      <c r="A3" s="7"/>
      <c r="B3" s="13"/>
      <c r="C3" s="14"/>
      <c r="D3" s="14"/>
      <c r="E3" s="7"/>
      <c r="F3" s="7"/>
      <c r="G3" s="7"/>
    </row>
    <row r="4" spans="1:8" ht="27" customHeight="1">
      <c r="A4" s="12"/>
      <c r="B4" s="44" t="s">
        <v>44</v>
      </c>
      <c r="C4" s="44" t="s">
        <v>45</v>
      </c>
      <c r="D4" s="44" t="s">
        <v>64</v>
      </c>
      <c r="E4" s="41" t="s">
        <v>11</v>
      </c>
      <c r="F4" s="6" t="s">
        <v>37</v>
      </c>
      <c r="G4" s="22"/>
      <c r="H4" s="41"/>
    </row>
    <row r="5" spans="1:8" ht="15.75">
      <c r="A5" s="194" t="s">
        <v>110</v>
      </c>
      <c r="B5" s="63">
        <v>8.35</v>
      </c>
      <c r="C5" s="63">
        <v>9.25</v>
      </c>
      <c r="D5" s="68">
        <f aca="true" t="shared" si="0" ref="D5:D16">MIN(B5:C5)</f>
        <v>8.35</v>
      </c>
      <c r="E5" s="69">
        <f>IF((D5&gt;12),0,50+50*((12/D5)^2-1)/((12/$E$2)^2-1))</f>
        <v>75.5243608393081</v>
      </c>
      <c r="F5" s="22">
        <f>RANK(E5,$E$5:$E$16)</f>
        <v>7</v>
      </c>
      <c r="G5" s="22"/>
      <c r="H5" s="79"/>
    </row>
    <row r="6" spans="1:8" ht="15.75">
      <c r="A6" s="194" t="s">
        <v>111</v>
      </c>
      <c r="B6" s="63">
        <v>7.74</v>
      </c>
      <c r="C6" s="63">
        <v>7.63</v>
      </c>
      <c r="D6" s="68">
        <f t="shared" si="0"/>
        <v>7.63</v>
      </c>
      <c r="E6" s="69">
        <f>IF((D6&gt;12),0,50+50*((12/D6)^2-1)/((12/$E$2)^2-1))</f>
        <v>85.30394267482475</v>
      </c>
      <c r="F6" s="22">
        <f aca="true" t="shared" si="1" ref="F6:F16">RANK(E6,$E$5:$E$16)</f>
        <v>4</v>
      </c>
      <c r="G6" s="22"/>
      <c r="H6" s="79"/>
    </row>
    <row r="7" spans="1:8" ht="15.75">
      <c r="A7" s="194" t="s">
        <v>112</v>
      </c>
      <c r="B7" s="63">
        <v>8.59</v>
      </c>
      <c r="C7" s="63">
        <v>8.89</v>
      </c>
      <c r="D7" s="68">
        <f t="shared" si="0"/>
        <v>8.59</v>
      </c>
      <c r="E7" s="69">
        <f>IF((D7&gt;12),0,50+50*((12/D7)^2-1)/((12/$E$2)^2-1))</f>
        <v>72.79790536415621</v>
      </c>
      <c r="F7" s="22">
        <f t="shared" si="1"/>
        <v>8</v>
      </c>
      <c r="G7" s="22"/>
      <c r="H7" s="79"/>
    </row>
    <row r="8" spans="1:8" ht="15.75">
      <c r="A8" s="194" t="s">
        <v>113</v>
      </c>
      <c r="B8" s="63">
        <v>9.28</v>
      </c>
      <c r="C8" s="63">
        <v>9.33</v>
      </c>
      <c r="D8" s="68">
        <f t="shared" si="0"/>
        <v>9.28</v>
      </c>
      <c r="E8" s="69">
        <f>IF((D8&gt;12),0,50+50*((12/D8)^2-1)/((12/$E$2)^2-1))</f>
        <v>66.1033088996204</v>
      </c>
      <c r="F8" s="22">
        <f t="shared" si="1"/>
        <v>10</v>
      </c>
      <c r="G8" s="22"/>
      <c r="H8" s="79"/>
    </row>
    <row r="9" spans="1:8" ht="15.75">
      <c r="A9" s="194" t="s">
        <v>114</v>
      </c>
      <c r="B9" s="63">
        <v>7.64</v>
      </c>
      <c r="C9" s="63">
        <v>7.35</v>
      </c>
      <c r="D9" s="68">
        <f t="shared" si="0"/>
        <v>7.35</v>
      </c>
      <c r="E9" s="69">
        <f>IF((D9&gt;12),0,50+50*((12/D9)^2-1)/((12/$E$2)^2-1))</f>
        <v>89.90522764677216</v>
      </c>
      <c r="F9" s="22">
        <f t="shared" si="1"/>
        <v>3</v>
      </c>
      <c r="G9" s="22"/>
      <c r="H9" s="79"/>
    </row>
    <row r="10" spans="1:8" ht="15.75">
      <c r="A10" s="194" t="s">
        <v>115</v>
      </c>
      <c r="B10" s="63">
        <v>8.16</v>
      </c>
      <c r="C10" s="63">
        <v>8.02</v>
      </c>
      <c r="D10" s="68">
        <f t="shared" si="0"/>
        <v>8.02</v>
      </c>
      <c r="E10" s="69">
        <f aca="true" t="shared" si="2" ref="E10:E16">IF((D10&gt;12),0,50+50*((12/D10)^2-1)/((12/$E$2)^2-1))</f>
        <v>79.68034584915111</v>
      </c>
      <c r="F10" s="22">
        <f t="shared" si="1"/>
        <v>6</v>
      </c>
      <c r="G10" s="22"/>
      <c r="H10" s="79"/>
    </row>
    <row r="11" spans="1:8" ht="15.75">
      <c r="A11" s="194" t="s">
        <v>116</v>
      </c>
      <c r="B11" s="63">
        <v>7.02</v>
      </c>
      <c r="C11" s="63">
        <v>7.5</v>
      </c>
      <c r="D11" s="68">
        <f t="shared" si="0"/>
        <v>7.02</v>
      </c>
      <c r="E11" s="69">
        <f t="shared" si="2"/>
        <v>96.0506940147037</v>
      </c>
      <c r="F11" s="22">
        <f t="shared" si="1"/>
        <v>2</v>
      </c>
      <c r="G11" s="22"/>
      <c r="H11" s="79"/>
    </row>
    <row r="12" spans="1:8" ht="31.5">
      <c r="A12" s="194" t="s">
        <v>117</v>
      </c>
      <c r="B12" s="63">
        <v>13.34</v>
      </c>
      <c r="C12" s="63">
        <v>11.61</v>
      </c>
      <c r="D12" s="68">
        <f t="shared" si="0"/>
        <v>11.61</v>
      </c>
      <c r="E12" s="69">
        <f t="shared" si="2"/>
        <v>51.63669103368084</v>
      </c>
      <c r="F12" s="22">
        <f t="shared" si="1"/>
        <v>12</v>
      </c>
      <c r="G12" s="22"/>
      <c r="H12" s="79"/>
    </row>
    <row r="13" spans="1:8" ht="15.75">
      <c r="A13" s="194" t="s">
        <v>118</v>
      </c>
      <c r="B13" s="63">
        <v>12.67</v>
      </c>
      <c r="C13" s="63">
        <v>11.24</v>
      </c>
      <c r="D13" s="68">
        <f t="shared" si="0"/>
        <v>11.24</v>
      </c>
      <c r="E13" s="69">
        <f t="shared" si="2"/>
        <v>53.34955907829465</v>
      </c>
      <c r="F13" s="22">
        <f t="shared" si="1"/>
        <v>11</v>
      </c>
      <c r="G13" s="22"/>
      <c r="H13" s="79"/>
    </row>
    <row r="14" spans="1:8" ht="15.75">
      <c r="A14" s="194" t="s">
        <v>119</v>
      </c>
      <c r="B14" s="63">
        <v>8.66</v>
      </c>
      <c r="C14" s="63">
        <v>9.13</v>
      </c>
      <c r="D14" s="68">
        <f t="shared" si="0"/>
        <v>8.66</v>
      </c>
      <c r="E14" s="69">
        <f t="shared" si="2"/>
        <v>72.04507336865221</v>
      </c>
      <c r="F14" s="22">
        <f t="shared" si="1"/>
        <v>9</v>
      </c>
      <c r="G14" s="22"/>
      <c r="H14" s="79"/>
    </row>
    <row r="15" spans="1:8" ht="15.75">
      <c r="A15" s="194" t="s">
        <v>120</v>
      </c>
      <c r="B15" s="63">
        <v>6.83</v>
      </c>
      <c r="C15" s="63">
        <v>7.08</v>
      </c>
      <c r="D15" s="68">
        <f t="shared" si="0"/>
        <v>6.83</v>
      </c>
      <c r="E15" s="69">
        <f t="shared" si="2"/>
        <v>100</v>
      </c>
      <c r="F15" s="22">
        <f t="shared" si="1"/>
        <v>1</v>
      </c>
      <c r="G15" s="22"/>
      <c r="H15" s="79"/>
    </row>
    <row r="16" spans="1:8" ht="15.75">
      <c r="A16" s="194" t="s">
        <v>121</v>
      </c>
      <c r="B16" s="63">
        <v>7.95</v>
      </c>
      <c r="C16" s="63">
        <v>8.21</v>
      </c>
      <c r="D16" s="68">
        <f t="shared" si="0"/>
        <v>7.95</v>
      </c>
      <c r="E16" s="69">
        <f t="shared" si="2"/>
        <v>80.62909850134487</v>
      </c>
      <c r="F16" s="22">
        <f t="shared" si="1"/>
        <v>5</v>
      </c>
      <c r="G16" s="22"/>
      <c r="H16" s="79"/>
    </row>
    <row r="17" spans="1:8" ht="15.75">
      <c r="A17" s="194" t="s">
        <v>122</v>
      </c>
      <c r="B17" s="63"/>
      <c r="C17" s="63"/>
      <c r="D17" s="68"/>
      <c r="E17" s="69"/>
      <c r="F17" s="22">
        <v>13</v>
      </c>
      <c r="G17" s="22"/>
      <c r="H17" s="79"/>
    </row>
    <row r="18" spans="1:8" ht="12.75">
      <c r="A18" s="7"/>
      <c r="B18" s="68"/>
      <c r="C18" s="68"/>
      <c r="D18" s="68"/>
      <c r="F18" s="6"/>
      <c r="G18" s="6"/>
      <c r="H18" s="3"/>
    </row>
    <row r="19" spans="1:8" ht="12.75">
      <c r="A19" s="29"/>
      <c r="B19" s="68"/>
      <c r="C19" s="65"/>
      <c r="D19" s="65"/>
      <c r="E19" s="22"/>
      <c r="F19" s="22"/>
      <c r="G19" s="22"/>
      <c r="H19" s="4"/>
    </row>
    <row r="20" spans="1:8" ht="12.75">
      <c r="A20" s="19"/>
      <c r="B20" s="183"/>
      <c r="C20" s="65"/>
      <c r="D20" s="65"/>
      <c r="E20" s="22"/>
      <c r="F20" s="22"/>
      <c r="G20" s="22"/>
      <c r="H20" s="4"/>
    </row>
    <row r="21" spans="1:8" ht="12.75">
      <c r="A21" s="29"/>
      <c r="B21" s="65"/>
      <c r="C21" s="65"/>
      <c r="D21" s="65"/>
      <c r="E21" s="22"/>
      <c r="F21" s="22"/>
      <c r="G21" s="22"/>
      <c r="H21" s="4"/>
    </row>
    <row r="22" spans="1:8" ht="12.75">
      <c r="A22" s="29"/>
      <c r="B22" s="65"/>
      <c r="C22" s="65"/>
      <c r="D22" s="65"/>
      <c r="E22" s="22"/>
      <c r="F22" s="22"/>
      <c r="G22" s="22"/>
      <c r="H22" s="4"/>
    </row>
    <row r="23" spans="1:8" ht="12.75">
      <c r="A23" s="29"/>
      <c r="B23" s="65"/>
      <c r="C23" s="202"/>
      <c r="D23" s="65"/>
      <c r="E23" s="22"/>
      <c r="F23" s="22"/>
      <c r="G23" s="22"/>
      <c r="H23" s="4"/>
    </row>
    <row r="24" spans="1:8" ht="12.75">
      <c r="A24" s="29"/>
      <c r="B24" s="65"/>
      <c r="C24" s="65"/>
      <c r="D24" s="65"/>
      <c r="E24" s="22"/>
      <c r="F24" s="22"/>
      <c r="G24" s="22"/>
      <c r="H24" s="4"/>
    </row>
    <row r="25" spans="1:8" ht="12.75">
      <c r="A25" s="29"/>
      <c r="B25" s="65"/>
      <c r="C25" s="202"/>
      <c r="D25" s="65"/>
      <c r="E25" s="22"/>
      <c r="F25" s="22"/>
      <c r="G25" s="22"/>
      <c r="H25" s="4"/>
    </row>
    <row r="26" spans="1:8" ht="12.75">
      <c r="A26" s="29"/>
      <c r="B26" s="65"/>
      <c r="C26" s="65"/>
      <c r="D26" s="65"/>
      <c r="E26" s="22"/>
      <c r="F26" s="22"/>
      <c r="G26" s="22"/>
      <c r="H26" s="4"/>
    </row>
    <row r="27" spans="1:8" ht="12.75">
      <c r="A27" s="29"/>
      <c r="B27" s="65"/>
      <c r="C27" s="65"/>
      <c r="D27" s="65"/>
      <c r="E27" s="22"/>
      <c r="F27" s="22"/>
      <c r="G27" s="22"/>
      <c r="H27" s="4"/>
    </row>
    <row r="28" spans="1:8" ht="12.75">
      <c r="A28" s="29"/>
      <c r="B28" s="65"/>
      <c r="C28" s="65"/>
      <c r="D28" s="65"/>
      <c r="E28" s="22"/>
      <c r="F28" s="22"/>
      <c r="G28" s="22"/>
      <c r="H28" s="4"/>
    </row>
    <row r="29" spans="1:8" ht="12.75">
      <c r="A29" s="29"/>
      <c r="B29" s="65"/>
      <c r="C29" s="65"/>
      <c r="D29" s="65"/>
      <c r="E29" s="22"/>
      <c r="F29" s="22"/>
      <c r="G29" s="22"/>
      <c r="H29" s="4"/>
    </row>
    <row r="30" spans="1:8" ht="12.75">
      <c r="A30" s="29"/>
      <c r="B30" s="65"/>
      <c r="C30" s="65"/>
      <c r="D30" s="65"/>
      <c r="E30" s="22"/>
      <c r="F30" s="22"/>
      <c r="G30" s="22"/>
      <c r="H30" s="4"/>
    </row>
    <row r="31" spans="1:8" ht="12.75">
      <c r="A31" s="29"/>
      <c r="B31" s="65"/>
      <c r="C31" s="65"/>
      <c r="D31" s="65"/>
      <c r="E31" s="22"/>
      <c r="F31" s="22"/>
      <c r="G31" s="22"/>
      <c r="H31" s="4"/>
    </row>
    <row r="32" spans="1:8" ht="12.75">
      <c r="A32" s="29"/>
      <c r="B32" s="65"/>
      <c r="C32" s="65"/>
      <c r="D32" s="65"/>
      <c r="E32" s="22"/>
      <c r="F32" s="22"/>
      <c r="G32" s="22"/>
      <c r="H32" s="7"/>
    </row>
    <row r="33" spans="1:8" ht="12.75">
      <c r="A33" s="29"/>
      <c r="B33" s="65"/>
      <c r="C33" s="65"/>
      <c r="D33" s="65"/>
      <c r="E33" s="22"/>
      <c r="F33" s="22"/>
      <c r="G33" s="22"/>
      <c r="H33" s="7"/>
    </row>
    <row r="34" spans="1:8" ht="12.75">
      <c r="A34" s="14"/>
      <c r="B34" s="65"/>
      <c r="C34" s="65"/>
      <c r="D34" s="65"/>
      <c r="E34" s="22"/>
      <c r="F34" s="22"/>
      <c r="G34" s="22"/>
      <c r="H34" s="7"/>
    </row>
    <row r="35" spans="1:8" ht="12.75">
      <c r="A35" s="14"/>
      <c r="B35" s="65"/>
      <c r="C35" s="65"/>
      <c r="D35" s="65"/>
      <c r="E35" s="22"/>
      <c r="F35" s="22"/>
      <c r="G35" s="22"/>
      <c r="H35" s="7"/>
    </row>
    <row r="36" spans="1:8" ht="12.75">
      <c r="A36" s="14"/>
      <c r="B36" s="65"/>
      <c r="C36" s="65"/>
      <c r="D36" s="65"/>
      <c r="E36" s="22"/>
      <c r="F36" s="22"/>
      <c r="G36" s="22"/>
      <c r="H36" s="7"/>
    </row>
    <row r="37" spans="1:8" ht="12.75">
      <c r="A37" s="58"/>
      <c r="B37" s="14"/>
      <c r="C37" s="14"/>
      <c r="D37" s="14"/>
      <c r="E37" s="7"/>
      <c r="F37" s="7"/>
      <c r="G37" s="7"/>
      <c r="H37" s="7"/>
    </row>
    <row r="38" spans="2:4" ht="12.75">
      <c r="B38" s="5"/>
      <c r="C38" s="5"/>
      <c r="D38" s="5"/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 topLeftCell="A1">
      <selection activeCell="E21" sqref="E21"/>
    </sheetView>
  </sheetViews>
  <sheetFormatPr defaultColWidth="9.140625" defaultRowHeight="12.75"/>
  <cols>
    <col min="1" max="1" width="36.57421875" style="0" customWidth="1"/>
    <col min="2" max="2" width="9.7109375" style="0" customWidth="1"/>
    <col min="3" max="4" width="13.28125" style="0" customWidth="1"/>
    <col min="5" max="6" width="11.28125" style="0" customWidth="1"/>
    <col min="7" max="7" width="14.28125" style="0" customWidth="1"/>
    <col min="8" max="8" width="12.7109375" style="0" customWidth="1"/>
    <col min="9" max="9" width="12.421875" style="0" customWidth="1"/>
    <col min="10" max="10" width="11.00390625" style="0" customWidth="1"/>
  </cols>
  <sheetData>
    <row r="1" spans="1:9" ht="18.75">
      <c r="A1" s="9" t="s">
        <v>131</v>
      </c>
      <c r="B1" s="10"/>
      <c r="C1" s="11"/>
      <c r="D1" s="11"/>
      <c r="E1" s="82"/>
      <c r="F1" s="82"/>
      <c r="G1" s="43"/>
      <c r="H1" s="7"/>
      <c r="I1" s="7"/>
    </row>
    <row r="2" spans="1:9" ht="12.75">
      <c r="A2" s="26"/>
      <c r="B2" s="159"/>
      <c r="C2" s="160" t="s">
        <v>85</v>
      </c>
      <c r="D2" s="160" t="s">
        <v>94</v>
      </c>
      <c r="E2" s="161">
        <f>MAX(C6:C19)</f>
        <v>98.46000000000001</v>
      </c>
      <c r="F2" s="161"/>
      <c r="G2" s="26" t="s">
        <v>77</v>
      </c>
      <c r="H2" s="7"/>
      <c r="I2" s="7"/>
    </row>
    <row r="3" spans="1:9" s="80" customFormat="1" ht="12.75" customHeight="1">
      <c r="A3" s="26"/>
      <c r="B3" s="26"/>
      <c r="C3" s="160" t="s">
        <v>86</v>
      </c>
      <c r="D3" s="160" t="s">
        <v>94</v>
      </c>
      <c r="E3" s="161">
        <f>MIN(C6:C17)</f>
        <v>0</v>
      </c>
      <c r="F3" s="161"/>
      <c r="G3" s="26" t="s">
        <v>77</v>
      </c>
      <c r="H3" s="43"/>
      <c r="I3" s="43"/>
    </row>
    <row r="4" spans="1:8" ht="12.75">
      <c r="A4" s="26"/>
      <c r="B4" s="19"/>
      <c r="C4" s="29"/>
      <c r="D4" s="29"/>
      <c r="E4" s="26"/>
      <c r="F4" s="26"/>
      <c r="G4" s="26"/>
      <c r="H4" s="7"/>
    </row>
    <row r="5" spans="1:6" ht="27" customHeight="1">
      <c r="A5" s="98"/>
      <c r="B5" s="44" t="s">
        <v>106</v>
      </c>
      <c r="C5" s="44" t="s">
        <v>246</v>
      </c>
      <c r="D5" s="162" t="s">
        <v>93</v>
      </c>
      <c r="E5" s="24" t="s">
        <v>37</v>
      </c>
      <c r="F5" s="22"/>
    </row>
    <row r="6" spans="1:7" ht="15.75">
      <c r="A6" s="194" t="s">
        <v>110</v>
      </c>
      <c r="B6" s="163">
        <v>32.98</v>
      </c>
      <c r="C6" s="148">
        <f>B6-B$12</f>
        <v>30.819999999999997</v>
      </c>
      <c r="D6" s="69">
        <f>C6/C$17*75</f>
        <v>23.476538695917117</v>
      </c>
      <c r="E6" s="33">
        <f aca="true" t="shared" si="0" ref="E6:E17">RANK(D6,$D$6:$D$17)</f>
        <v>6</v>
      </c>
      <c r="F6" s="22"/>
      <c r="G6" s="69"/>
    </row>
    <row r="7" spans="1:7" ht="15.75">
      <c r="A7" s="194" t="s">
        <v>111</v>
      </c>
      <c r="B7" s="63">
        <v>16.92</v>
      </c>
      <c r="C7" s="148">
        <f aca="true" t="shared" si="1" ref="C7:C17">B7-B$12</f>
        <v>14.760000000000002</v>
      </c>
      <c r="D7" s="69">
        <f aca="true" t="shared" si="2" ref="D7:D17">C7/C$17*75</f>
        <v>11.243144424131627</v>
      </c>
      <c r="E7" s="33">
        <f t="shared" si="0"/>
        <v>10</v>
      </c>
      <c r="F7" s="22"/>
      <c r="G7" s="69"/>
    </row>
    <row r="8" spans="1:7" ht="15.75">
      <c r="A8" s="194" t="s">
        <v>112</v>
      </c>
      <c r="B8" s="63">
        <v>43.38</v>
      </c>
      <c r="C8" s="148">
        <f t="shared" si="1"/>
        <v>41.22</v>
      </c>
      <c r="D8" s="69">
        <f t="shared" si="2"/>
        <v>31.398537477148075</v>
      </c>
      <c r="E8" s="33">
        <f t="shared" si="0"/>
        <v>4</v>
      </c>
      <c r="F8" s="22"/>
      <c r="G8" s="69"/>
    </row>
    <row r="9" spans="1:7" ht="15.75">
      <c r="A9" s="194" t="s">
        <v>113</v>
      </c>
      <c r="B9" s="63">
        <v>51.25</v>
      </c>
      <c r="C9" s="148">
        <f t="shared" si="1"/>
        <v>49.09</v>
      </c>
      <c r="D9" s="69">
        <f t="shared" si="2"/>
        <v>37.3933577087142</v>
      </c>
      <c r="E9" s="33">
        <f t="shared" si="0"/>
        <v>3</v>
      </c>
      <c r="F9" s="22"/>
      <c r="G9" s="69"/>
    </row>
    <row r="10" spans="1:7" ht="15.75">
      <c r="A10" s="194" t="s">
        <v>114</v>
      </c>
      <c r="B10" s="63">
        <v>10.73</v>
      </c>
      <c r="C10" s="148">
        <f t="shared" si="1"/>
        <v>8.57</v>
      </c>
      <c r="D10" s="69">
        <f t="shared" si="2"/>
        <v>6.528031687995124</v>
      </c>
      <c r="E10" s="33">
        <f t="shared" si="0"/>
        <v>11</v>
      </c>
      <c r="F10" s="22"/>
      <c r="G10" s="69"/>
    </row>
    <row r="11" spans="1:7" ht="15.75">
      <c r="A11" s="194" t="s">
        <v>115</v>
      </c>
      <c r="B11" s="63">
        <v>21.54</v>
      </c>
      <c r="C11" s="148">
        <f t="shared" si="1"/>
        <v>19.38</v>
      </c>
      <c r="D11" s="69">
        <f t="shared" si="2"/>
        <v>14.76234003656307</v>
      </c>
      <c r="E11" s="33">
        <f t="shared" si="0"/>
        <v>9</v>
      </c>
      <c r="F11" s="22"/>
      <c r="G11" s="69"/>
    </row>
    <row r="12" spans="1:7" ht="15.75">
      <c r="A12" s="194" t="s">
        <v>116</v>
      </c>
      <c r="B12" s="63">
        <v>2.16</v>
      </c>
      <c r="C12" s="148">
        <f t="shared" si="1"/>
        <v>0</v>
      </c>
      <c r="D12" s="69">
        <f t="shared" si="2"/>
        <v>0</v>
      </c>
      <c r="E12" s="33">
        <f t="shared" si="0"/>
        <v>12</v>
      </c>
      <c r="F12" s="22"/>
      <c r="G12" s="69"/>
    </row>
    <row r="13" spans="1:7" ht="31.5">
      <c r="A13" s="194" t="s">
        <v>117</v>
      </c>
      <c r="B13" s="63">
        <v>21.76</v>
      </c>
      <c r="C13" s="148">
        <f t="shared" si="1"/>
        <v>19.6</v>
      </c>
      <c r="D13" s="69">
        <f t="shared" si="2"/>
        <v>14.929920780012187</v>
      </c>
      <c r="E13" s="33">
        <f t="shared" si="0"/>
        <v>8</v>
      </c>
      <c r="F13" s="22"/>
      <c r="G13" s="69"/>
    </row>
    <row r="14" spans="1:7" ht="15.75">
      <c r="A14" s="194" t="s">
        <v>118</v>
      </c>
      <c r="B14" s="63">
        <v>34.69</v>
      </c>
      <c r="C14" s="148">
        <f t="shared" si="1"/>
        <v>32.53</v>
      </c>
      <c r="D14" s="69">
        <f t="shared" si="2"/>
        <v>24.77909811090798</v>
      </c>
      <c r="E14" s="33">
        <f t="shared" si="0"/>
        <v>5</v>
      </c>
      <c r="F14" s="22"/>
      <c r="G14" s="69"/>
    </row>
    <row r="15" spans="1:7" ht="15.75">
      <c r="A15" s="194" t="s">
        <v>119</v>
      </c>
      <c r="B15" s="63">
        <v>51.26</v>
      </c>
      <c r="C15" s="148">
        <f t="shared" si="1"/>
        <v>49.099999999999994</v>
      </c>
      <c r="D15" s="69">
        <f t="shared" si="2"/>
        <v>37.40097501523461</v>
      </c>
      <c r="E15" s="33">
        <f t="shared" si="0"/>
        <v>2</v>
      </c>
      <c r="F15" s="22"/>
      <c r="G15" s="69"/>
    </row>
    <row r="16" spans="1:7" ht="15.75">
      <c r="A16" s="194" t="s">
        <v>120</v>
      </c>
      <c r="B16" s="63">
        <v>30.33</v>
      </c>
      <c r="C16" s="148">
        <f t="shared" si="1"/>
        <v>28.169999999999998</v>
      </c>
      <c r="D16" s="69">
        <f t="shared" si="2"/>
        <v>21.45795246800731</v>
      </c>
      <c r="E16" s="33">
        <f t="shared" si="0"/>
        <v>7</v>
      </c>
      <c r="F16" s="22"/>
      <c r="G16" s="69"/>
    </row>
    <row r="17" spans="1:7" ht="15.75">
      <c r="A17" s="194" t="s">
        <v>121</v>
      </c>
      <c r="B17" s="63">
        <v>100.62</v>
      </c>
      <c r="C17" s="148">
        <f t="shared" si="1"/>
        <v>98.46000000000001</v>
      </c>
      <c r="D17" s="69">
        <f t="shared" si="2"/>
        <v>75</v>
      </c>
      <c r="E17" s="33">
        <f t="shared" si="0"/>
        <v>1</v>
      </c>
      <c r="F17" s="22"/>
      <c r="G17" s="69"/>
    </row>
    <row r="18" spans="1:8" ht="15.75">
      <c r="A18" s="194" t="s">
        <v>122</v>
      </c>
      <c r="B18" s="63" t="s">
        <v>242</v>
      </c>
      <c r="C18" s="148">
        <f>MAX(B18:B18)</f>
        <v>0</v>
      </c>
      <c r="D18" s="69"/>
      <c r="E18" s="69"/>
      <c r="F18" s="33"/>
      <c r="G18" s="22"/>
      <c r="H18" s="69"/>
    </row>
    <row r="19" spans="1:9" ht="12.75">
      <c r="A19" s="29" t="s">
        <v>77</v>
      </c>
      <c r="B19" s="59"/>
      <c r="C19" s="148" t="s">
        <v>77</v>
      </c>
      <c r="D19" s="59"/>
      <c r="E19" s="59"/>
      <c r="F19" s="59"/>
      <c r="G19" s="6"/>
      <c r="H19" s="6"/>
      <c r="I19" s="3"/>
    </row>
    <row r="20" spans="1:9" ht="12.75">
      <c r="A20" s="29"/>
      <c r="B20" s="68"/>
      <c r="C20" s="65"/>
      <c r="D20" s="65"/>
      <c r="E20" s="22"/>
      <c r="F20" s="22"/>
      <c r="G20" s="22"/>
      <c r="H20" s="22"/>
      <c r="I20" s="4"/>
    </row>
    <row r="21" spans="1:9" ht="12.75">
      <c r="A21" s="19"/>
      <c r="B21" s="183"/>
      <c r="C21" s="65"/>
      <c r="D21" s="65"/>
      <c r="E21" s="22"/>
      <c r="F21" s="22"/>
      <c r="G21" s="22"/>
      <c r="H21" s="22"/>
      <c r="I21" s="4"/>
    </row>
    <row r="22" spans="1:9" ht="12.75">
      <c r="A22" s="29"/>
      <c r="B22" s="65"/>
      <c r="C22" s="65"/>
      <c r="D22" s="65"/>
      <c r="E22" s="22"/>
      <c r="F22" s="22"/>
      <c r="G22" s="22"/>
      <c r="H22" s="22"/>
      <c r="I22" s="4"/>
    </row>
    <row r="23" spans="1:9" ht="12.75">
      <c r="A23" s="29"/>
      <c r="B23" s="65"/>
      <c r="C23" s="65"/>
      <c r="D23" s="65"/>
      <c r="E23" s="22"/>
      <c r="F23" s="22"/>
      <c r="G23" s="22"/>
      <c r="H23" s="22"/>
      <c r="I23" s="4"/>
    </row>
    <row r="24" spans="1:9" ht="12.75">
      <c r="A24" s="29"/>
      <c r="B24" s="65"/>
      <c r="C24" s="65"/>
      <c r="D24" s="65"/>
      <c r="E24" s="22"/>
      <c r="F24" s="22"/>
      <c r="G24" s="22"/>
      <c r="H24" s="22"/>
      <c r="I24" s="4"/>
    </row>
    <row r="25" spans="1:9" ht="12.75">
      <c r="A25" s="29"/>
      <c r="B25" s="65"/>
      <c r="C25" s="202" t="s">
        <v>77</v>
      </c>
      <c r="D25" s="65"/>
      <c r="E25" s="22"/>
      <c r="F25" s="22"/>
      <c r="G25" s="22"/>
      <c r="H25" s="22"/>
      <c r="I25" s="4"/>
    </row>
    <row r="26" spans="1:9" ht="12.75">
      <c r="A26" s="29"/>
      <c r="B26" s="65"/>
      <c r="C26" s="65"/>
      <c r="D26" s="65"/>
      <c r="E26" s="22"/>
      <c r="F26" s="22"/>
      <c r="G26" s="22"/>
      <c r="H26" s="22"/>
      <c r="I26" s="4"/>
    </row>
    <row r="27" spans="1:9" ht="12.75">
      <c r="A27" s="29"/>
      <c r="B27" s="65"/>
      <c r="C27" s="65"/>
      <c r="D27" s="65"/>
      <c r="E27" s="22"/>
      <c r="F27" s="22"/>
      <c r="G27" s="22"/>
      <c r="H27" s="22"/>
      <c r="I27" s="4"/>
    </row>
    <row r="28" spans="1:9" ht="12.75">
      <c r="A28" s="29"/>
      <c r="B28" s="65"/>
      <c r="C28" s="65"/>
      <c r="D28" s="65"/>
      <c r="E28" s="22"/>
      <c r="F28" s="22"/>
      <c r="G28" s="22"/>
      <c r="H28" s="22"/>
      <c r="I28" s="4"/>
    </row>
    <row r="29" spans="1:9" ht="12.75">
      <c r="A29" s="29"/>
      <c r="B29" s="65"/>
      <c r="C29" s="65"/>
      <c r="D29" s="65"/>
      <c r="E29" s="22"/>
      <c r="F29" s="22"/>
      <c r="G29" s="22"/>
      <c r="H29" s="22"/>
      <c r="I29" s="4"/>
    </row>
    <row r="30" spans="1:9" ht="12.75">
      <c r="A30" s="29"/>
      <c r="B30" s="65"/>
      <c r="C30" s="65"/>
      <c r="D30" s="65"/>
      <c r="E30" s="22"/>
      <c r="F30" s="22"/>
      <c r="G30" s="22"/>
      <c r="H30" s="22"/>
      <c r="I30" s="4"/>
    </row>
    <row r="31" spans="1:9" ht="12.75">
      <c r="A31" s="29"/>
      <c r="B31" s="65"/>
      <c r="C31" s="65"/>
      <c r="D31" s="65"/>
      <c r="E31" s="22"/>
      <c r="F31" s="22"/>
      <c r="G31" s="22"/>
      <c r="H31" s="22"/>
      <c r="I31" s="4"/>
    </row>
    <row r="32" spans="1:9" ht="12.75">
      <c r="A32" s="29"/>
      <c r="B32" s="65"/>
      <c r="C32" s="65"/>
      <c r="D32" s="65"/>
      <c r="E32" s="22"/>
      <c r="F32" s="22"/>
      <c r="G32" s="22"/>
      <c r="H32" s="22"/>
      <c r="I32" s="4"/>
    </row>
    <row r="33" spans="1:9" ht="12.75">
      <c r="A33" s="29"/>
      <c r="B33" s="65"/>
      <c r="C33" s="65"/>
      <c r="D33" s="65"/>
      <c r="E33" s="22"/>
      <c r="F33" s="22"/>
      <c r="G33" s="22"/>
      <c r="H33" s="22"/>
      <c r="I33" s="7"/>
    </row>
    <row r="34" spans="1:9" ht="12.75">
      <c r="A34" s="29"/>
      <c r="B34" s="65"/>
      <c r="C34" s="65"/>
      <c r="D34" s="65"/>
      <c r="E34" s="22"/>
      <c r="F34" s="22"/>
      <c r="G34" s="22"/>
      <c r="H34" s="22"/>
      <c r="I34" s="7"/>
    </row>
    <row r="35" spans="1:9" ht="12.75">
      <c r="A35" s="14"/>
      <c r="B35" s="65"/>
      <c r="C35" s="65"/>
      <c r="D35" s="65"/>
      <c r="E35" s="22"/>
      <c r="F35" s="22"/>
      <c r="G35" s="22"/>
      <c r="H35" s="22"/>
      <c r="I35" s="7"/>
    </row>
    <row r="36" spans="1:9" ht="12.75">
      <c r="A36" s="14"/>
      <c r="B36" s="65"/>
      <c r="C36" s="65"/>
      <c r="D36" s="65"/>
      <c r="E36" s="22"/>
      <c r="F36" s="22"/>
      <c r="G36" s="22"/>
      <c r="H36" s="22"/>
      <c r="I36" s="7"/>
    </row>
    <row r="37" spans="1:9" ht="12.75">
      <c r="A37" s="14"/>
      <c r="B37" s="65"/>
      <c r="C37" s="65"/>
      <c r="D37" s="65"/>
      <c r="E37" s="22"/>
      <c r="F37" s="22"/>
      <c r="G37" s="22"/>
      <c r="H37" s="22"/>
      <c r="I37" s="7"/>
    </row>
    <row r="38" spans="1:9" ht="12.75">
      <c r="A38" s="58"/>
      <c r="B38" s="14"/>
      <c r="C38" s="14"/>
      <c r="D38" s="14"/>
      <c r="E38" s="7"/>
      <c r="F38" s="7"/>
      <c r="G38" s="7"/>
      <c r="H38" s="7"/>
      <c r="I38" s="7"/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  <row r="74" spans="2:4" ht="12.75">
      <c r="B74" s="5"/>
      <c r="C74" s="5"/>
      <c r="D74" s="5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1"/>
  <sheetViews>
    <sheetView workbookViewId="0" topLeftCell="A1">
      <selection activeCell="K3" sqref="K3:N13"/>
    </sheetView>
  </sheetViews>
  <sheetFormatPr defaultColWidth="9.140625" defaultRowHeight="12.75"/>
  <cols>
    <col min="1" max="1" width="40.8515625" style="0" customWidth="1"/>
    <col min="2" max="2" width="11.28125" style="0" customWidth="1"/>
    <col min="3" max="3" width="12.57421875" style="0" customWidth="1"/>
    <col min="4" max="4" width="8.57421875" style="0" customWidth="1"/>
    <col min="5" max="7" width="12.421875" style="0" customWidth="1"/>
    <col min="8" max="9" width="9.28125" style="0" customWidth="1"/>
    <col min="10" max="10" width="4.00390625" style="0" customWidth="1"/>
    <col min="12" max="12" width="10.00390625" style="0" customWidth="1"/>
    <col min="13" max="13" width="8.7109375" style="4" customWidth="1"/>
    <col min="14" max="14" width="10.7109375" style="4" customWidth="1"/>
    <col min="15" max="15" width="8.7109375" style="4" customWidth="1"/>
    <col min="16" max="16" width="3.00390625" style="4" customWidth="1"/>
    <col min="17" max="23" width="8.7109375" style="46" customWidth="1"/>
    <col min="24" max="24" width="10.00390625" style="46" customWidth="1"/>
    <col min="25" max="26" width="8.7109375" style="46" customWidth="1"/>
    <col min="27" max="27" width="8.7109375" style="0" customWidth="1"/>
    <col min="28" max="28" width="2.140625" style="0" customWidth="1"/>
    <col min="29" max="29" width="16.28125" style="4" customWidth="1"/>
    <col min="30" max="30" width="12.7109375" style="4" customWidth="1"/>
    <col min="31" max="34" width="8.7109375" style="0" customWidth="1"/>
  </cols>
  <sheetData>
    <row r="1" spans="1:33" ht="18.75">
      <c r="A1" s="139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  <c r="N1" s="33"/>
      <c r="O1" s="33"/>
      <c r="P1" s="33"/>
      <c r="Q1" s="140"/>
      <c r="R1" s="102"/>
      <c r="S1" s="103"/>
      <c r="T1" s="103"/>
      <c r="U1" s="103"/>
      <c r="V1" s="103"/>
      <c r="W1" s="103"/>
      <c r="X1" s="103"/>
      <c r="Y1" s="103"/>
      <c r="Z1" s="103"/>
      <c r="AA1" s="104"/>
      <c r="AB1" s="105"/>
      <c r="AC1" s="106"/>
      <c r="AD1" s="74"/>
      <c r="AE1" s="1"/>
      <c r="AF1" s="1"/>
      <c r="AG1" s="1"/>
    </row>
    <row r="2" spans="1:33" ht="12.75">
      <c r="A2" s="9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41"/>
      <c r="N2" s="59"/>
      <c r="O2" s="59"/>
      <c r="P2" s="59"/>
      <c r="Q2" s="142"/>
      <c r="R2" s="109"/>
      <c r="S2" s="109"/>
      <c r="T2" s="103"/>
      <c r="U2" s="103"/>
      <c r="V2" s="103"/>
      <c r="W2" s="103"/>
      <c r="X2" s="103"/>
      <c r="Y2" s="103"/>
      <c r="Z2" s="103"/>
      <c r="AA2" s="104"/>
      <c r="AB2" s="105"/>
      <c r="AC2" s="106"/>
      <c r="AD2" s="74"/>
      <c r="AE2" s="1"/>
      <c r="AF2" s="1"/>
      <c r="AG2" s="1"/>
    </row>
    <row r="3" spans="1:33" ht="12.75">
      <c r="A3" s="19"/>
      <c r="B3" s="19" t="s">
        <v>57</v>
      </c>
      <c r="C3" s="28"/>
      <c r="D3" s="28"/>
      <c r="E3" s="28"/>
      <c r="F3" s="28"/>
      <c r="G3" s="28"/>
      <c r="H3" s="28"/>
      <c r="I3" s="28"/>
      <c r="J3" s="28"/>
      <c r="K3" s="19"/>
      <c r="L3" s="28"/>
      <c r="M3" s="33"/>
      <c r="N3" s="28"/>
      <c r="O3" s="28"/>
      <c r="P3" s="28"/>
      <c r="Q3" s="143"/>
      <c r="R3" s="112"/>
      <c r="S3" s="109"/>
      <c r="T3" s="103"/>
      <c r="U3" s="103"/>
      <c r="V3" s="103"/>
      <c r="W3" s="103"/>
      <c r="X3" s="103"/>
      <c r="Y3" s="103"/>
      <c r="Z3" s="103"/>
      <c r="AA3" s="104"/>
      <c r="AB3" s="105"/>
      <c r="AC3" s="106"/>
      <c r="AD3" s="74"/>
      <c r="AE3" s="1"/>
      <c r="AF3" s="1"/>
      <c r="AG3" s="1"/>
    </row>
    <row r="4" spans="1:33" ht="12.75">
      <c r="A4" s="19"/>
      <c r="B4" s="19"/>
      <c r="C4" s="28"/>
      <c r="D4" s="28"/>
      <c r="E4" s="28"/>
      <c r="F4" s="28" t="s">
        <v>179</v>
      </c>
      <c r="G4" s="28"/>
      <c r="H4" s="28"/>
      <c r="I4" s="28"/>
      <c r="J4" s="28"/>
      <c r="K4" s="28"/>
      <c r="L4" s="28"/>
      <c r="M4" s="33"/>
      <c r="N4" s="28"/>
      <c r="O4" s="28"/>
      <c r="P4" s="28"/>
      <c r="Q4" s="143"/>
      <c r="R4" s="112"/>
      <c r="S4" s="109"/>
      <c r="T4" s="103"/>
      <c r="U4" s="103"/>
      <c r="V4" s="103"/>
      <c r="W4" s="103"/>
      <c r="X4" s="103"/>
      <c r="Y4" s="103"/>
      <c r="Z4" s="103"/>
      <c r="AA4" s="104"/>
      <c r="AB4" s="105"/>
      <c r="AC4" s="106"/>
      <c r="AD4" s="74"/>
      <c r="AE4" s="1"/>
      <c r="AF4" s="1"/>
      <c r="AG4" s="1"/>
    </row>
    <row r="5" spans="2:29" ht="12.75">
      <c r="B5" s="28" t="s">
        <v>58</v>
      </c>
      <c r="C5" s="44" t="s">
        <v>59</v>
      </c>
      <c r="D5" s="28" t="s">
        <v>60</v>
      </c>
      <c r="E5" s="28" t="s">
        <v>61</v>
      </c>
      <c r="F5" s="28" t="s">
        <v>180</v>
      </c>
      <c r="G5" s="28" t="s">
        <v>245</v>
      </c>
      <c r="H5" s="44" t="s">
        <v>11</v>
      </c>
      <c r="I5" s="44" t="s">
        <v>37</v>
      </c>
      <c r="J5" s="44"/>
      <c r="K5" s="44"/>
      <c r="L5" s="28"/>
      <c r="M5" s="49"/>
      <c r="N5" s="24"/>
      <c r="O5" s="33"/>
      <c r="P5" s="33"/>
      <c r="Q5" s="140"/>
      <c r="R5" s="102"/>
      <c r="S5" s="102"/>
      <c r="T5" s="102"/>
      <c r="U5" s="102"/>
      <c r="V5" s="102"/>
      <c r="W5" s="102"/>
      <c r="X5" s="102"/>
      <c r="Y5" s="102"/>
      <c r="Z5" s="102"/>
      <c r="AA5" s="101"/>
      <c r="AB5" s="113"/>
      <c r="AC5" s="114"/>
    </row>
    <row r="6" spans="1:36" ht="15.75">
      <c r="A6" s="194" t="s">
        <v>110</v>
      </c>
      <c r="B6" s="169">
        <v>88.33294889928075</v>
      </c>
      <c r="C6" s="169">
        <v>1.0062564483040093</v>
      </c>
      <c r="D6" s="169">
        <v>0.7015818601281069</v>
      </c>
      <c r="E6" s="165">
        <f aca="true" t="shared" si="0" ref="E6:E12">SUM(C6:D6)</f>
        <v>1.707838308432116</v>
      </c>
      <c r="F6" s="200">
        <f aca="true" t="shared" si="1" ref="F6:F13">((1-((E6-15)/150))*100+((1-(B6/400))*100))</f>
        <v>186.77820390289173</v>
      </c>
      <c r="G6" s="200">
        <f>F6</f>
        <v>186.77820390289173</v>
      </c>
      <c r="H6" s="146">
        <v>284</v>
      </c>
      <c r="I6" s="146">
        <f aca="true" t="shared" si="2" ref="I6:I18">RANK(H6,$H$6:$H$18)</f>
        <v>5</v>
      </c>
      <c r="J6" s="145"/>
      <c r="K6" s="152"/>
      <c r="L6" s="152"/>
      <c r="M6" s="152"/>
      <c r="N6" s="152"/>
      <c r="O6" s="33"/>
      <c r="P6" s="33"/>
      <c r="Q6" s="147"/>
      <c r="R6" s="102"/>
      <c r="S6" s="102"/>
      <c r="T6" s="102"/>
      <c r="U6" s="102"/>
      <c r="V6" s="102"/>
      <c r="W6" s="102"/>
      <c r="X6" s="102"/>
      <c r="Y6" s="102"/>
      <c r="Z6" s="102"/>
      <c r="AA6" s="101"/>
      <c r="AB6" s="113"/>
      <c r="AC6" s="114"/>
      <c r="AI6" s="36"/>
      <c r="AJ6" s="36"/>
    </row>
    <row r="7" spans="1:36" ht="15.75">
      <c r="A7" s="194" t="s">
        <v>111</v>
      </c>
      <c r="B7" s="169">
        <v>205.04894886809342</v>
      </c>
      <c r="C7" s="169">
        <v>2.476466025609402</v>
      </c>
      <c r="D7" s="169">
        <v>0</v>
      </c>
      <c r="E7" s="165">
        <f t="shared" si="0"/>
        <v>2.476466025609402</v>
      </c>
      <c r="F7" s="200">
        <f t="shared" si="1"/>
        <v>157.08678543257037</v>
      </c>
      <c r="G7" s="200">
        <f aca="true" t="shared" si="3" ref="G7:G12">F7</f>
        <v>157.08678543257037</v>
      </c>
      <c r="H7" s="146">
        <v>171</v>
      </c>
      <c r="I7" s="146">
        <f t="shared" si="2"/>
        <v>7</v>
      </c>
      <c r="J7" s="145"/>
      <c r="K7" s="152"/>
      <c r="L7" s="152"/>
      <c r="M7" s="152"/>
      <c r="N7" s="152"/>
      <c r="O7" s="33"/>
      <c r="P7" s="33"/>
      <c r="Q7" s="140"/>
      <c r="R7" s="102"/>
      <c r="S7" s="102"/>
      <c r="T7" s="102"/>
      <c r="U7" s="102"/>
      <c r="V7" s="102"/>
      <c r="W7" s="102"/>
      <c r="X7" s="102"/>
      <c r="Y7" s="102"/>
      <c r="Z7" s="102"/>
      <c r="AA7" s="101"/>
      <c r="AB7" s="113"/>
      <c r="AC7" s="114"/>
      <c r="AI7" s="36"/>
      <c r="AJ7" s="36"/>
    </row>
    <row r="8" spans="1:36" ht="15.75">
      <c r="A8" s="194" t="s">
        <v>112</v>
      </c>
      <c r="B8" s="169">
        <v>67.93501837101388</v>
      </c>
      <c r="C8" s="169">
        <v>0.920219898529584</v>
      </c>
      <c r="D8" s="169">
        <v>0.08917334256585786</v>
      </c>
      <c r="E8" s="165">
        <f t="shared" si="0"/>
        <v>1.0093932410954418</v>
      </c>
      <c r="F8" s="200">
        <f t="shared" si="1"/>
        <v>192.34331657984956</v>
      </c>
      <c r="G8" s="200">
        <f t="shared" si="3"/>
        <v>192.34331657984956</v>
      </c>
      <c r="H8" s="146">
        <v>300</v>
      </c>
      <c r="I8" s="146">
        <f t="shared" si="2"/>
        <v>1</v>
      </c>
      <c r="J8" s="145"/>
      <c r="K8" s="152"/>
      <c r="L8" s="152"/>
      <c r="M8" s="152"/>
      <c r="N8" s="152"/>
      <c r="O8" s="33"/>
      <c r="P8" s="33"/>
      <c r="Q8" s="140"/>
      <c r="R8" s="102"/>
      <c r="S8" s="102"/>
      <c r="T8" s="102"/>
      <c r="U8" s="102"/>
      <c r="V8" s="102"/>
      <c r="W8" s="102"/>
      <c r="X8" s="102"/>
      <c r="Y8" s="102"/>
      <c r="Z8" s="102"/>
      <c r="AA8" s="101"/>
      <c r="AB8" s="113"/>
      <c r="AC8" s="114"/>
      <c r="AI8" s="36"/>
      <c r="AJ8" s="36"/>
    </row>
    <row r="9" spans="1:36" ht="15.75">
      <c r="A9" s="194" t="s">
        <v>113</v>
      </c>
      <c r="B9" s="169">
        <v>66.3564064475925</v>
      </c>
      <c r="C9" s="169">
        <v>1.44935839101542</v>
      </c>
      <c r="D9" s="169">
        <v>2.2924406224288143</v>
      </c>
      <c r="E9" s="165">
        <f t="shared" si="0"/>
        <v>3.7417990134442345</v>
      </c>
      <c r="F9" s="200">
        <f t="shared" si="1"/>
        <v>190.91636571247238</v>
      </c>
      <c r="G9" s="200">
        <f t="shared" si="3"/>
        <v>190.91636571247238</v>
      </c>
      <c r="H9" s="146">
        <v>296</v>
      </c>
      <c r="I9" s="146">
        <f t="shared" si="2"/>
        <v>2</v>
      </c>
      <c r="J9" s="145"/>
      <c r="K9" s="152"/>
      <c r="L9" s="152"/>
      <c r="M9" s="152"/>
      <c r="N9" s="152"/>
      <c r="O9" s="33"/>
      <c r="P9" s="33"/>
      <c r="Q9" s="140"/>
      <c r="R9" s="102"/>
      <c r="S9" s="102"/>
      <c r="T9" s="102"/>
      <c r="U9" s="102"/>
      <c r="V9" s="102"/>
      <c r="W9" s="102"/>
      <c r="X9" s="102"/>
      <c r="Y9" s="102"/>
      <c r="Z9" s="102"/>
      <c r="AA9" s="101"/>
      <c r="AB9" s="113"/>
      <c r="AC9" s="114"/>
      <c r="AI9" s="36"/>
      <c r="AJ9" s="36"/>
    </row>
    <row r="10" spans="1:36" ht="15.75">
      <c r="A10" s="194" t="s">
        <v>114</v>
      </c>
      <c r="B10" s="169">
        <v>82.44919268913404</v>
      </c>
      <c r="C10" s="169">
        <v>0.7851903025633202</v>
      </c>
      <c r="D10" s="169">
        <v>0.04913115403075494</v>
      </c>
      <c r="E10" s="165">
        <f t="shared" si="0"/>
        <v>0.8343214565940752</v>
      </c>
      <c r="F10" s="200">
        <f t="shared" si="1"/>
        <v>188.83148752332045</v>
      </c>
      <c r="G10" s="200">
        <f t="shared" si="3"/>
        <v>188.83148752332045</v>
      </c>
      <c r="H10" s="146">
        <v>290</v>
      </c>
      <c r="I10" s="146">
        <f t="shared" si="2"/>
        <v>3</v>
      </c>
      <c r="J10" s="145"/>
      <c r="K10" s="152"/>
      <c r="L10" s="152"/>
      <c r="M10" s="152"/>
      <c r="N10" s="152"/>
      <c r="O10" s="33"/>
      <c r="P10" s="33"/>
      <c r="Q10" s="147"/>
      <c r="R10" s="116"/>
      <c r="S10" s="116"/>
      <c r="T10" s="116"/>
      <c r="U10" s="102"/>
      <c r="V10" s="102"/>
      <c r="W10" s="102"/>
      <c r="X10" s="102"/>
      <c r="Y10" s="102"/>
      <c r="Z10" s="102"/>
      <c r="AA10" s="101"/>
      <c r="AB10" s="113"/>
      <c r="AC10" s="114"/>
      <c r="AI10" s="36"/>
      <c r="AJ10" s="36"/>
    </row>
    <row r="11" spans="1:36" ht="15.75">
      <c r="A11" s="194" t="s">
        <v>115</v>
      </c>
      <c r="B11" s="169">
        <v>86.18906211154112</v>
      </c>
      <c r="C11" s="169">
        <v>1.8230298606251116</v>
      </c>
      <c r="D11" s="169">
        <v>0.031933644907357416</v>
      </c>
      <c r="E11" s="165">
        <f t="shared" si="0"/>
        <v>1.8549635055324691</v>
      </c>
      <c r="F11" s="200">
        <f t="shared" si="1"/>
        <v>187.21609213509305</v>
      </c>
      <c r="G11" s="200">
        <f t="shared" si="3"/>
        <v>187.21609213509305</v>
      </c>
      <c r="H11" s="146">
        <v>286</v>
      </c>
      <c r="I11" s="146">
        <f t="shared" si="2"/>
        <v>4</v>
      </c>
      <c r="J11" s="145"/>
      <c r="K11" s="152"/>
      <c r="L11" s="152"/>
      <c r="M11" s="152"/>
      <c r="N11" s="152"/>
      <c r="O11" s="33"/>
      <c r="P11" s="33"/>
      <c r="Q11" s="147"/>
      <c r="R11" s="116"/>
      <c r="S11" s="116"/>
      <c r="T11" s="116"/>
      <c r="U11" s="102"/>
      <c r="V11" s="102"/>
      <c r="W11" s="102"/>
      <c r="X11" s="102"/>
      <c r="Y11" s="102"/>
      <c r="Z11" s="102"/>
      <c r="AA11" s="101"/>
      <c r="AB11" s="113"/>
      <c r="AC11" s="114"/>
      <c r="AI11" s="36"/>
      <c r="AJ11" s="36"/>
    </row>
    <row r="12" spans="1:36" ht="15.75">
      <c r="A12" s="194" t="s">
        <v>116</v>
      </c>
      <c r="B12" s="169">
        <v>230.08334557856568</v>
      </c>
      <c r="C12" s="169">
        <v>10.843907124134148</v>
      </c>
      <c r="D12" s="169">
        <v>1.253173628799708</v>
      </c>
      <c r="E12" s="165">
        <f t="shared" si="0"/>
        <v>12.097080752933856</v>
      </c>
      <c r="F12" s="200">
        <f t="shared" si="1"/>
        <v>144.4144431034027</v>
      </c>
      <c r="G12" s="200">
        <f t="shared" si="3"/>
        <v>144.4144431034027</v>
      </c>
      <c r="H12" s="146">
        <v>100</v>
      </c>
      <c r="I12" s="146">
        <f t="shared" si="2"/>
        <v>8</v>
      </c>
      <c r="J12" s="145"/>
      <c r="K12" s="152"/>
      <c r="L12" s="152"/>
      <c r="M12" s="152"/>
      <c r="N12" s="152"/>
      <c r="O12" s="33"/>
      <c r="P12" s="33"/>
      <c r="Q12" s="147"/>
      <c r="R12" s="116"/>
      <c r="S12" s="116"/>
      <c r="T12" s="116"/>
      <c r="U12" s="102"/>
      <c r="V12" s="102"/>
      <c r="W12" s="102"/>
      <c r="X12" s="102"/>
      <c r="Y12" s="102"/>
      <c r="Z12" s="102"/>
      <c r="AA12" s="101"/>
      <c r="AB12" s="113"/>
      <c r="AC12" s="114"/>
      <c r="AI12" s="36"/>
      <c r="AJ12" s="36"/>
    </row>
    <row r="13" spans="1:36" ht="15.75">
      <c r="A13" s="194" t="s">
        <v>117</v>
      </c>
      <c r="B13" s="167">
        <v>662.550100833715</v>
      </c>
      <c r="C13" s="167">
        <v>187.23507791963314</v>
      </c>
      <c r="D13" s="167">
        <v>1.491509677787875</v>
      </c>
      <c r="E13" s="165">
        <f aca="true" t="shared" si="4" ref="E13:E18">SUM(C13:D13)</f>
        <v>188.72658759742103</v>
      </c>
      <c r="F13" s="200">
        <f t="shared" si="1"/>
        <v>-81.45525027337611</v>
      </c>
      <c r="G13" s="200"/>
      <c r="H13" s="146">
        <v>0</v>
      </c>
      <c r="I13" s="146">
        <f t="shared" si="2"/>
        <v>9</v>
      </c>
      <c r="J13" s="145"/>
      <c r="K13" s="152"/>
      <c r="L13" s="152"/>
      <c r="M13" s="152"/>
      <c r="N13" s="152"/>
      <c r="O13" s="33"/>
      <c r="P13" s="33"/>
      <c r="Q13" s="140"/>
      <c r="R13" s="102"/>
      <c r="S13" s="102"/>
      <c r="T13" s="102"/>
      <c r="U13" s="102"/>
      <c r="V13" s="102"/>
      <c r="W13" s="102"/>
      <c r="X13" s="102"/>
      <c r="Y13" s="102"/>
      <c r="Z13" s="102"/>
      <c r="AA13" s="101"/>
      <c r="AB13" s="113"/>
      <c r="AC13" s="114"/>
      <c r="AI13" s="36"/>
      <c r="AJ13" s="36"/>
    </row>
    <row r="14" spans="1:36" ht="15.75">
      <c r="A14" s="194" t="s">
        <v>118</v>
      </c>
      <c r="B14" s="167" t="s">
        <v>242</v>
      </c>
      <c r="C14" s="167" t="s">
        <v>242</v>
      </c>
      <c r="D14" s="167" t="s">
        <v>242</v>
      </c>
      <c r="E14" s="165">
        <f t="shared" si="4"/>
        <v>0</v>
      </c>
      <c r="F14" s="200" t="s">
        <v>242</v>
      </c>
      <c r="G14" s="200"/>
      <c r="H14" s="146">
        <v>0</v>
      </c>
      <c r="I14" s="146">
        <f t="shared" si="2"/>
        <v>9</v>
      </c>
      <c r="J14" s="145"/>
      <c r="K14" s="152"/>
      <c r="L14" s="152"/>
      <c r="M14" s="152"/>
      <c r="N14" s="152"/>
      <c r="O14" s="33"/>
      <c r="P14" s="33"/>
      <c r="Q14" s="140"/>
      <c r="R14" s="102"/>
      <c r="S14" s="102"/>
      <c r="T14" s="102"/>
      <c r="U14" s="102"/>
      <c r="V14" s="102"/>
      <c r="W14" s="102"/>
      <c r="X14" s="102"/>
      <c r="Y14" s="102"/>
      <c r="Z14" s="102"/>
      <c r="AA14" s="101"/>
      <c r="AB14" s="113"/>
      <c r="AC14" s="114"/>
      <c r="AI14" s="36"/>
      <c r="AJ14" s="36"/>
    </row>
    <row r="15" spans="1:36" ht="15.75">
      <c r="A15" s="194" t="s">
        <v>119</v>
      </c>
      <c r="B15" s="167">
        <v>837.9805657237392</v>
      </c>
      <c r="C15" s="167">
        <v>95.46724880943705</v>
      </c>
      <c r="D15" s="167">
        <v>0.9960742649852431</v>
      </c>
      <c r="E15" s="165">
        <f t="shared" si="4"/>
        <v>96.46332307442229</v>
      </c>
      <c r="F15" s="200">
        <f>((1-((E15-15)/150))*100+((1-(B15/400))*100))</f>
        <v>-63.80402348054968</v>
      </c>
      <c r="G15" s="200"/>
      <c r="H15" s="146">
        <v>0</v>
      </c>
      <c r="I15" s="146">
        <f t="shared" si="2"/>
        <v>9</v>
      </c>
      <c r="J15" s="145"/>
      <c r="K15" s="152"/>
      <c r="L15" s="152"/>
      <c r="M15" s="152"/>
      <c r="N15" s="152"/>
      <c r="O15" s="33"/>
      <c r="P15" s="33"/>
      <c r="Q15" s="140"/>
      <c r="R15" s="102"/>
      <c r="S15" s="102"/>
      <c r="T15" s="102"/>
      <c r="U15" s="102"/>
      <c r="V15" s="102"/>
      <c r="W15" s="102"/>
      <c r="X15" s="102"/>
      <c r="Y15" s="102"/>
      <c r="Z15" s="102"/>
      <c r="AA15" s="101"/>
      <c r="AB15" s="113"/>
      <c r="AC15" s="114"/>
      <c r="AI15" s="36"/>
      <c r="AJ15" s="36"/>
    </row>
    <row r="16" spans="1:36" ht="15.75">
      <c r="A16" s="194" t="s">
        <v>120</v>
      </c>
      <c r="B16" s="167">
        <v>139.0931132373437</v>
      </c>
      <c r="C16" s="167">
        <v>2.467652976854899</v>
      </c>
      <c r="D16" s="167">
        <v>1.9222049764168097</v>
      </c>
      <c r="E16" s="165">
        <f t="shared" si="4"/>
        <v>4.389857953271709</v>
      </c>
      <c r="F16" s="200">
        <f>((1-((E16-15)/150))*100+((1-(B16/400))*100))</f>
        <v>172.30014972181627</v>
      </c>
      <c r="G16" s="200">
        <f>F16</f>
        <v>172.30014972181627</v>
      </c>
      <c r="H16" s="146">
        <v>236</v>
      </c>
      <c r="I16" s="146">
        <f t="shared" si="2"/>
        <v>6</v>
      </c>
      <c r="J16" s="145"/>
      <c r="K16" s="152"/>
      <c r="L16" s="152"/>
      <c r="M16" s="152"/>
      <c r="N16" s="152"/>
      <c r="O16" s="33"/>
      <c r="P16" s="33"/>
      <c r="Q16" s="140"/>
      <c r="R16" s="102"/>
      <c r="S16" s="102"/>
      <c r="T16" s="102"/>
      <c r="U16" s="102"/>
      <c r="V16" s="102"/>
      <c r="W16" s="102"/>
      <c r="X16" s="102"/>
      <c r="Y16" s="102"/>
      <c r="Z16" s="102"/>
      <c r="AA16" s="101"/>
      <c r="AB16" s="113"/>
      <c r="AC16" s="114"/>
      <c r="AI16" s="36"/>
      <c r="AJ16" s="36"/>
    </row>
    <row r="17" spans="1:36" ht="15.75">
      <c r="A17" s="194" t="s">
        <v>121</v>
      </c>
      <c r="B17" s="167">
        <v>287.57777338213253</v>
      </c>
      <c r="C17" s="167">
        <v>84.72488557503233</v>
      </c>
      <c r="D17" s="167">
        <v>0.9515012212436793</v>
      </c>
      <c r="E17" s="165">
        <f t="shared" si="4"/>
        <v>85.676386796276</v>
      </c>
      <c r="F17" s="200">
        <f>((1-((E17-15)/150))*100+((1-(B17/400))*100))</f>
        <v>80.98796545694952</v>
      </c>
      <c r="G17" s="200"/>
      <c r="H17" s="146">
        <v>0</v>
      </c>
      <c r="I17" s="146">
        <f t="shared" si="2"/>
        <v>9</v>
      </c>
      <c r="J17" s="145"/>
      <c r="K17" s="152"/>
      <c r="L17" s="152"/>
      <c r="M17" s="152"/>
      <c r="N17" s="152"/>
      <c r="O17" s="33"/>
      <c r="P17" s="33"/>
      <c r="Q17" s="140"/>
      <c r="R17" s="102"/>
      <c r="S17" s="102"/>
      <c r="T17" s="102"/>
      <c r="U17" s="102"/>
      <c r="V17" s="102"/>
      <c r="W17" s="102"/>
      <c r="X17" s="102"/>
      <c r="Y17" s="102"/>
      <c r="Z17" s="102"/>
      <c r="AA17" s="101"/>
      <c r="AB17" s="113"/>
      <c r="AC17" s="114"/>
      <c r="AI17" s="36"/>
      <c r="AJ17" s="36"/>
    </row>
    <row r="18" spans="1:36" ht="15.75">
      <c r="A18" s="194" t="s">
        <v>122</v>
      </c>
      <c r="B18" s="167" t="s">
        <v>242</v>
      </c>
      <c r="C18" s="167" t="s">
        <v>242</v>
      </c>
      <c r="D18" s="167" t="s">
        <v>242</v>
      </c>
      <c r="E18" s="165">
        <f t="shared" si="4"/>
        <v>0</v>
      </c>
      <c r="F18" s="200" t="e">
        <f>((1-((E18-15)/150))*100+((1-(B18/400))*100))</f>
        <v>#VALUE!</v>
      </c>
      <c r="G18" s="200"/>
      <c r="H18" s="146">
        <v>0</v>
      </c>
      <c r="I18" s="146">
        <f t="shared" si="2"/>
        <v>9</v>
      </c>
      <c r="J18" s="145"/>
      <c r="K18" s="152"/>
      <c r="L18" s="152"/>
      <c r="M18" s="152"/>
      <c r="N18" s="152"/>
      <c r="O18" s="33"/>
      <c r="P18" s="33"/>
      <c r="Q18" s="140"/>
      <c r="R18" s="102"/>
      <c r="S18" s="102"/>
      <c r="T18" s="102"/>
      <c r="U18" s="102"/>
      <c r="V18" s="102"/>
      <c r="W18" s="102"/>
      <c r="X18" s="102"/>
      <c r="Y18" s="102"/>
      <c r="Z18" s="102"/>
      <c r="AA18" s="101"/>
      <c r="AB18" s="113"/>
      <c r="AC18" s="114"/>
      <c r="AI18" s="36"/>
      <c r="AJ18" s="36"/>
    </row>
    <row r="19" spans="1:36" ht="12.75">
      <c r="A19" s="29"/>
      <c r="B19" s="166"/>
      <c r="C19" s="166"/>
      <c r="D19" s="166"/>
      <c r="E19" s="165"/>
      <c r="F19" s="200"/>
      <c r="G19" s="200"/>
      <c r="H19" s="148"/>
      <c r="I19" s="148"/>
      <c r="J19" s="148"/>
      <c r="K19" s="145"/>
      <c r="L19" s="148"/>
      <c r="M19" s="45"/>
      <c r="N19" s="45"/>
      <c r="O19" s="45"/>
      <c r="P19" s="45"/>
      <c r="Q19" s="149"/>
      <c r="R19" s="118"/>
      <c r="S19" s="118"/>
      <c r="T19" s="119"/>
      <c r="U19" s="119"/>
      <c r="V19" s="119"/>
      <c r="W19" s="119"/>
      <c r="X19" s="119"/>
      <c r="Y19" s="119"/>
      <c r="Z19" s="119"/>
      <c r="AA19" s="120"/>
      <c r="AB19" s="121"/>
      <c r="AC19" s="122"/>
      <c r="AD19" s="55"/>
      <c r="AE19" s="37"/>
      <c r="AF19" s="37"/>
      <c r="AG19" s="37"/>
      <c r="AH19" s="37"/>
      <c r="AI19" s="36"/>
      <c r="AJ19" s="36"/>
    </row>
    <row r="20" spans="1:36" ht="12.75">
      <c r="A20" s="29"/>
      <c r="B20" s="100"/>
      <c r="C20" s="144"/>
      <c r="D20" s="45"/>
      <c r="E20" s="45"/>
      <c r="F20" s="45"/>
      <c r="G20" s="45"/>
      <c r="H20" s="150"/>
      <c r="I20" s="150"/>
      <c r="J20" s="150"/>
      <c r="K20" s="150"/>
      <c r="L20" s="150"/>
      <c r="M20" s="45"/>
      <c r="N20" s="45"/>
      <c r="O20" s="45"/>
      <c r="P20" s="45"/>
      <c r="Q20" s="149"/>
      <c r="R20" s="118"/>
      <c r="S20" s="118"/>
      <c r="T20" s="119"/>
      <c r="U20" s="119"/>
      <c r="V20" s="119"/>
      <c r="W20" s="119"/>
      <c r="X20" s="119"/>
      <c r="Y20" s="119"/>
      <c r="Z20" s="119"/>
      <c r="AA20" s="120"/>
      <c r="AB20" s="121"/>
      <c r="AC20" s="122"/>
      <c r="AD20" s="55"/>
      <c r="AE20" s="37"/>
      <c r="AF20" s="37"/>
      <c r="AG20" s="37"/>
      <c r="AH20" s="37"/>
      <c r="AI20" s="36"/>
      <c r="AJ20" s="36"/>
    </row>
    <row r="21" spans="1:36" ht="12.75">
      <c r="A21" s="31" t="s">
        <v>62</v>
      </c>
      <c r="B21" s="168">
        <v>66.356</v>
      </c>
      <c r="C21" s="144"/>
      <c r="D21" s="151" t="s">
        <v>63</v>
      </c>
      <c r="E21" s="168">
        <v>0.834</v>
      </c>
      <c r="F21" s="168"/>
      <c r="G21" s="168"/>
      <c r="H21" s="29"/>
      <c r="I21" s="29"/>
      <c r="J21" s="29"/>
      <c r="K21" s="29"/>
      <c r="L21" s="29"/>
      <c r="M21" s="45"/>
      <c r="N21" s="45"/>
      <c r="O21" s="45"/>
      <c r="P21" s="45"/>
      <c r="Q21" s="149"/>
      <c r="R21" s="118"/>
      <c r="S21" s="118"/>
      <c r="T21" s="118"/>
      <c r="U21" s="118"/>
      <c r="V21" s="118"/>
      <c r="W21" s="118"/>
      <c r="X21" s="118"/>
      <c r="Y21" s="118"/>
      <c r="Z21" s="118"/>
      <c r="AA21" s="123"/>
      <c r="AB21" s="131"/>
      <c r="AC21" s="132"/>
      <c r="AD21" s="55"/>
      <c r="AE21" s="37"/>
      <c r="AF21" s="37"/>
      <c r="AG21" s="37"/>
      <c r="AH21" s="37"/>
      <c r="AI21" s="36"/>
      <c r="AJ21" s="36"/>
    </row>
    <row r="22" spans="1:36" ht="12.7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24"/>
      <c r="L22" s="124"/>
      <c r="M22" s="124"/>
      <c r="N22" s="124"/>
      <c r="O22" s="124"/>
      <c r="P22" s="10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33"/>
      <c r="AB22" s="131"/>
      <c r="AC22" s="134"/>
      <c r="AD22" s="55"/>
      <c r="AE22" s="37"/>
      <c r="AF22" s="37"/>
      <c r="AG22" s="37"/>
      <c r="AH22" s="37"/>
      <c r="AI22" s="36"/>
      <c r="AJ22" s="36"/>
    </row>
    <row r="23" spans="1:36" ht="12.75">
      <c r="A23" s="107"/>
      <c r="B23" s="184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25"/>
      <c r="P23" s="11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26"/>
      <c r="AB23" s="132"/>
      <c r="AC23" s="136"/>
      <c r="AD23" s="55"/>
      <c r="AE23" s="37"/>
      <c r="AF23" s="37"/>
      <c r="AG23" s="37"/>
      <c r="AH23" s="37"/>
      <c r="AI23" s="36"/>
      <c r="AJ23" s="36"/>
    </row>
    <row r="24" spans="1:36" ht="12.75">
      <c r="A24" s="10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25"/>
      <c r="P24" s="11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26"/>
      <c r="AB24" s="132"/>
      <c r="AC24" s="136"/>
      <c r="AD24" s="55"/>
      <c r="AE24" s="37"/>
      <c r="AF24" s="37"/>
      <c r="AG24" s="37"/>
      <c r="AH24" s="37"/>
      <c r="AI24" s="36"/>
      <c r="AJ24" s="36"/>
    </row>
    <row r="25" spans="1:29" ht="12.75">
      <c r="A25" s="10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25"/>
      <c r="P25" s="11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26"/>
      <c r="AB25" s="137"/>
      <c r="AC25" s="136"/>
    </row>
    <row r="26" spans="1:29" ht="12.75">
      <c r="A26" s="10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25"/>
      <c r="P26" s="11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26"/>
      <c r="AB26" s="137"/>
      <c r="AC26" s="136"/>
    </row>
    <row r="27" spans="1:29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25"/>
      <c r="P27" s="115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26"/>
      <c r="AB27" s="137"/>
      <c r="AC27" s="136"/>
    </row>
    <row r="28" spans="1:29" ht="12.75">
      <c r="A28" s="10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25"/>
      <c r="P28" s="11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26"/>
      <c r="AB28" s="137"/>
      <c r="AC28" s="136"/>
    </row>
    <row r="29" spans="1:29" ht="12.75">
      <c r="A29" s="10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25"/>
      <c r="P29" s="11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26"/>
      <c r="AB29" s="137"/>
      <c r="AC29" s="136"/>
    </row>
    <row r="30" spans="1:29" ht="12.7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25"/>
      <c r="P30" s="115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26"/>
      <c r="AB30" s="137"/>
      <c r="AC30" s="136"/>
    </row>
    <row r="31" spans="1:29" ht="12.75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25"/>
      <c r="P31" s="115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26"/>
      <c r="AB31" s="137"/>
      <c r="AC31" s="136"/>
    </row>
    <row r="32" spans="1:29" ht="12.75">
      <c r="A32" s="10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25"/>
      <c r="P32" s="11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26"/>
      <c r="AB32" s="137"/>
      <c r="AC32" s="136"/>
    </row>
    <row r="33" spans="1:29" ht="12.75">
      <c r="A33" s="10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25"/>
      <c r="P33" s="11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26"/>
      <c r="AB33" s="137"/>
      <c r="AC33" s="136"/>
    </row>
    <row r="34" spans="1:29" ht="12.7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25"/>
      <c r="P34" s="115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26"/>
      <c r="AB34" s="137"/>
      <c r="AC34" s="136"/>
    </row>
    <row r="35" spans="1:29" ht="12.75">
      <c r="A35" s="107"/>
      <c r="B35" s="13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25"/>
      <c r="P35" s="11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26"/>
      <c r="AB35" s="137"/>
      <c r="AC35" s="136"/>
    </row>
    <row r="36" spans="1:29" ht="12.75">
      <c r="A36" s="10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26"/>
      <c r="P36" s="11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26"/>
      <c r="AB36" s="137"/>
      <c r="AC36" s="106"/>
    </row>
    <row r="37" spans="1:29" ht="12.7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25"/>
      <c r="P37" s="115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26"/>
      <c r="AB37" s="137"/>
      <c r="AC37" s="136"/>
    </row>
    <row r="38" spans="1:29" ht="12.75">
      <c r="A38" s="10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25"/>
      <c r="P38" s="11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26"/>
      <c r="AB38" s="137"/>
      <c r="AC38" s="136"/>
    </row>
    <row r="39" spans="1:29" ht="12.75">
      <c r="A39" s="101"/>
      <c r="B39" s="11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5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26"/>
      <c r="AB39" s="137"/>
      <c r="AC39" s="136"/>
    </row>
    <row r="40" spans="1:29" ht="12.75">
      <c r="A40" s="10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37"/>
      <c r="AC40" s="106"/>
    </row>
    <row r="41" spans="1:29" ht="12.75">
      <c r="A41" s="101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37"/>
      <c r="AC41" s="106"/>
    </row>
    <row r="42" spans="1:29" ht="12.75">
      <c r="A42" s="128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08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37"/>
      <c r="AC42" s="106"/>
    </row>
    <row r="43" spans="1:29" ht="12.7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5"/>
      <c r="P43" s="115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26"/>
      <c r="AB43" s="137"/>
      <c r="AC43" s="136"/>
    </row>
    <row r="44" spans="1:29" ht="12.7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5"/>
      <c r="P44" s="115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26"/>
      <c r="AB44" s="137"/>
      <c r="AC44" s="136"/>
    </row>
    <row r="45" spans="1:29" ht="12.75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5"/>
      <c r="P45" s="115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26"/>
      <c r="AB45" s="137"/>
      <c r="AC45" s="136"/>
    </row>
    <row r="46" spans="1:29" ht="12.7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5"/>
      <c r="P46" s="115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26"/>
      <c r="AB46" s="137"/>
      <c r="AC46" s="136"/>
    </row>
    <row r="47" spans="1:29" ht="12.7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5"/>
      <c r="P47" s="115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26"/>
      <c r="AB47" s="137"/>
      <c r="AC47" s="136"/>
    </row>
    <row r="48" spans="1:29" ht="12.7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5"/>
      <c r="P48" s="115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26"/>
      <c r="AB48" s="137"/>
      <c r="AC48" s="136"/>
    </row>
    <row r="49" spans="1:29" ht="12.7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5"/>
      <c r="P49" s="115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26"/>
      <c r="AB49" s="137"/>
      <c r="AC49" s="136"/>
    </row>
    <row r="50" spans="1:29" ht="12.7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5"/>
      <c r="P50" s="115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26"/>
      <c r="AB50" s="137"/>
      <c r="AC50" s="136"/>
    </row>
    <row r="51" spans="1:29" ht="12.7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5"/>
      <c r="P51" s="115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26"/>
      <c r="AB51" s="137"/>
      <c r="AC51" s="136"/>
    </row>
    <row r="52" spans="1:29" ht="12.75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25"/>
      <c r="P52" s="115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26"/>
      <c r="AB52" s="137"/>
      <c r="AC52" s="136"/>
    </row>
    <row r="53" spans="1:29" ht="12.7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5"/>
      <c r="P53" s="115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26"/>
      <c r="AB53" s="137"/>
      <c r="AC53" s="136"/>
    </row>
    <row r="54" spans="1:29" ht="12.75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5"/>
      <c r="P54" s="115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26"/>
      <c r="AB54" s="137"/>
      <c r="AC54" s="136"/>
    </row>
    <row r="55" spans="1:29" ht="12.7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5"/>
      <c r="P55" s="115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26"/>
      <c r="AB55" s="137"/>
      <c r="AC55" s="136"/>
    </row>
    <row r="56" spans="1:29" ht="12.75">
      <c r="A56" s="10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26"/>
      <c r="P56" s="115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26"/>
      <c r="AB56" s="137"/>
      <c r="AC56" s="106"/>
    </row>
    <row r="57" spans="1:29" ht="12.75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25"/>
      <c r="P57" s="115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26"/>
      <c r="AB57" s="137"/>
      <c r="AC57" s="136"/>
    </row>
    <row r="58" spans="1:29" ht="12.75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25"/>
      <c r="P58" s="115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26"/>
      <c r="AB58" s="137"/>
      <c r="AC58" s="136"/>
    </row>
    <row r="59" spans="1:29" ht="12.75">
      <c r="A59" s="113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29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0"/>
      <c r="AB59" s="137"/>
      <c r="AC59" s="106"/>
    </row>
    <row r="60" spans="1:29" ht="12.75">
      <c r="A60" s="113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06"/>
    </row>
    <row r="61" spans="1:29" ht="12.75">
      <c r="A61" s="113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37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</row>
    <row r="62" spans="1:29" ht="12.7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27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</row>
    <row r="63" spans="1:29" ht="12.75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27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</row>
    <row r="64" spans="1:29" ht="12.75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27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</row>
    <row r="65" spans="1:29" ht="12.7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27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</row>
    <row r="66" spans="1:29" ht="12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  <c r="N66" s="114"/>
      <c r="O66" s="127"/>
      <c r="P66" s="114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3"/>
      <c r="AB66" s="113"/>
      <c r="AC66" s="114"/>
    </row>
    <row r="67" spans="1:29" ht="12.7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4"/>
      <c r="N67" s="114"/>
      <c r="O67" s="127"/>
      <c r="P67" s="114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3"/>
      <c r="AB67" s="113"/>
      <c r="AC67" s="114"/>
    </row>
    <row r="68" ht="12.75">
      <c r="O68" s="47"/>
    </row>
    <row r="69" ht="12.75">
      <c r="O69" s="47"/>
    </row>
    <row r="70" ht="12.75">
      <c r="O70" s="47"/>
    </row>
    <row r="71" ht="12.75">
      <c r="O71" s="47"/>
    </row>
    <row r="72" ht="12.75">
      <c r="O72" s="47"/>
    </row>
    <row r="73" ht="12.75">
      <c r="O73" s="47"/>
    </row>
    <row r="74" ht="12.75">
      <c r="O74" s="47"/>
    </row>
    <row r="75" ht="12.75">
      <c r="O75" s="47"/>
    </row>
    <row r="76" ht="12.75">
      <c r="O76" s="47"/>
    </row>
    <row r="77" ht="12.75">
      <c r="O77" s="47"/>
    </row>
    <row r="78" ht="12.75">
      <c r="O78" s="47"/>
    </row>
    <row r="79" ht="12.75">
      <c r="O79" s="47"/>
    </row>
    <row r="80" ht="12.75">
      <c r="O80" s="47"/>
    </row>
    <row r="81" ht="12.75">
      <c r="O81" s="47"/>
    </row>
    <row r="82" ht="12.75">
      <c r="O82" s="47"/>
    </row>
    <row r="83" ht="12.75">
      <c r="O83" s="47"/>
    </row>
    <row r="84" ht="12.75">
      <c r="O84" s="47"/>
    </row>
    <row r="85" ht="12.75">
      <c r="O85" s="47"/>
    </row>
    <row r="86" ht="12.75">
      <c r="O86" s="47"/>
    </row>
    <row r="87" ht="12.75">
      <c r="O87" s="47"/>
    </row>
    <row r="88" ht="12.75">
      <c r="O88" s="47"/>
    </row>
    <row r="89" ht="12.75">
      <c r="O89" s="47"/>
    </row>
    <row r="90" ht="12.75">
      <c r="O90" s="47"/>
    </row>
    <row r="91" ht="12.75">
      <c r="O91" s="47"/>
    </row>
    <row r="92" ht="12.75">
      <c r="O92" s="47"/>
    </row>
    <row r="93" ht="12.75">
      <c r="O93" s="47"/>
    </row>
    <row r="94" ht="12.75">
      <c r="O94" s="47"/>
    </row>
    <row r="95" ht="12.75">
      <c r="O95" s="47"/>
    </row>
    <row r="96" ht="12.75">
      <c r="O96" s="47"/>
    </row>
    <row r="97" ht="12.75">
      <c r="O97" s="47"/>
    </row>
    <row r="98" ht="12.75">
      <c r="O98" s="47"/>
    </row>
    <row r="99" ht="12.75">
      <c r="O99" s="47"/>
    </row>
    <row r="100" ht="12.75">
      <c r="O100" s="47"/>
    </row>
    <row r="101" ht="12.75">
      <c r="O101" s="47"/>
    </row>
  </sheetData>
  <printOptions/>
  <pageMargins left="0.25" right="0.25" top="1" bottom="1" header="0.5" footer="0.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M Fussell</dc:creator>
  <cp:keywords/>
  <dc:description/>
  <cp:lastModifiedBy>jmeldrum</cp:lastModifiedBy>
  <cp:lastPrinted>2006-03-18T22:26:57Z</cp:lastPrinted>
  <dcterms:created xsi:type="dcterms:W3CDTF">2000-03-12T02:15:03Z</dcterms:created>
  <dcterms:modified xsi:type="dcterms:W3CDTF">2006-03-18T22:28:52Z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1267089759</vt:i4>
  </property>
  <property fmtid="{D5CDD505-2E9C-101B-9397-08002B2CF9AE}" pid="3" name="_EmailSubject">
    <vt:lpwstr>csc results</vt:lpwstr>
  </property>
  <property fmtid="{D5CDD505-2E9C-101B-9397-08002B2CF9AE}" pid="4" name="_AuthorEmailDisplayName">
    <vt:lpwstr>Jay Meldrum</vt:lpwstr>
  </property>
  <property fmtid="{D5CDD505-2E9C-101B-9397-08002B2CF9AE}" pid="5" name="_AuthorEmail">
    <vt:lpwstr>jmeldrum@mtu.edu</vt:lpwstr>
  </property>
  <property fmtid="{D5CDD505-2E9C-101B-9397-08002B2CF9AE}" pid="6" name="_PreviousAdHocReviewCycleID">
    <vt:i4>1684107879</vt:i4>
  </property>
</Properties>
</file>